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alcChain.xml" ContentType="application/vnd.openxmlformats-officedocument.spreadsheetml.calcChain+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Relationships xmlns="http://schemas.openxmlformats.org/package/2006/relationships">
  <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480" yWindow="225" windowWidth="15450" windowHeight="11220" tabRatio="429" firstSheet="1" activeTab="1"/>
  </bookViews>
  <sheets>
    <sheet name="Table of contents" sheetId="1" state="hidden" r:id="rId1"/>
    <sheet name="Student rates" sheetId="24" r:id="rId2"/>
    <sheet name="Student achievement" sheetId="8" r:id="rId3"/>
    <sheet name="College readiness" sheetId="14" r:id="rId4"/>
    <sheet name="Data" sheetId="23" state="hidden" r:id="rId5"/>
    <sheet name="Sheet2" sheetId="25" state="hidden" r:id="rId6"/>
  </sheets>
  <externalReferences>
    <externalReference r:id="rId7"/>
  </externalReferences>
  <definedNames>
    <definedName name="_xlnm._FilterDatabase" localSheetId="4" hidden="1">Data!$A$2:$EG$14</definedName>
    <definedName name="add" localSheetId="1">#REF!</definedName>
    <definedName name="add">#REF!</definedName>
    <definedName name="extra" localSheetId="1">#REF!</definedName>
    <definedName name="extra">#REF!</definedName>
    <definedName name="_xlnm.Print_Area" localSheetId="3">'College readiness'!$B$1:$J$213</definedName>
    <definedName name="_xlnm.Print_Area" localSheetId="2">'Student achievement'!$B$1:$L$157</definedName>
    <definedName name="_xlnm.Print_Area" localSheetId="1">'Student rates'!$B$1:$M$69</definedName>
    <definedName name="_xlnm.Print_Area" localSheetId="0">'Table of contents'!$B$1:$D$6</definedName>
    <definedName name="_xlnm.Print_Titles" localSheetId="3">'College readiness'!$7:$8</definedName>
    <definedName name="_xlnm.Print_Titles" localSheetId="2">'Student achievement'!$7:$8</definedName>
    <definedName name="_xlnm.Print_Titles" localSheetId="1">'Student rates'!$7:$8</definedName>
    <definedName name="School_Code" localSheetId="1">'[1]Table of contents'!$D$3</definedName>
    <definedName name="School_Code">'Table of contents'!$E$3</definedName>
    <definedName name="School_Data" localSheetId="1">[1]Data!$A$1:$EG$422</definedName>
    <definedName name="School_Data">Data!$A$1:$EG$14</definedName>
    <definedName name="School_List" localSheetId="1">[1]Data!$A$425:$A$460</definedName>
    <definedName name="School_List">Data!$A$17:$A$52</definedName>
  </definedNames>
  <calcPr calcId="125725" concurrentCalc="0"/>
</workbook>
</file>

<file path=xl/calcChain.xml><?xml version="1.0" encoding="utf-8"?>
<calcChain xmlns="http://schemas.openxmlformats.org/spreadsheetml/2006/main">
  <c r="E3" i="1"/>
  <c r="A5" i="25"/>
  <c r="A3"/>
  <c r="A4"/>
  <c r="A2"/>
  <c r="D10" i="14"/>
  <c r="I10"/>
  <c r="H10"/>
  <c r="G10"/>
  <c r="E10"/>
  <c r="D148" i="8"/>
  <c r="E12"/>
  <c r="K40"/>
  <c r="F118"/>
  <c r="J12"/>
  <c r="J52"/>
  <c r="G139"/>
  <c r="D39"/>
  <c r="D96"/>
  <c r="K144"/>
  <c r="F29"/>
  <c r="K73"/>
  <c r="I109"/>
  <c r="C15"/>
  <c r="G16"/>
  <c r="C33"/>
  <c r="I31"/>
  <c r="G46"/>
  <c r="E60"/>
  <c r="F69"/>
  <c r="H79"/>
  <c r="I100"/>
  <c r="K122"/>
  <c r="D105"/>
  <c r="E152"/>
  <c r="D19"/>
  <c r="I16"/>
  <c r="E33"/>
  <c r="C40"/>
  <c r="J42"/>
  <c r="H60"/>
  <c r="J69"/>
  <c r="C92"/>
  <c r="D126"/>
  <c r="F135"/>
  <c r="H105"/>
  <c r="I152"/>
  <c r="F20"/>
  <c r="C25"/>
  <c r="H33"/>
  <c r="F47"/>
  <c r="D61"/>
  <c r="E65"/>
  <c r="F87"/>
  <c r="H96"/>
  <c r="J118"/>
  <c r="K139"/>
  <c r="K150"/>
  <c r="K146"/>
  <c r="K141"/>
  <c r="J150"/>
  <c r="J146"/>
  <c r="J141"/>
  <c r="I150"/>
  <c r="I146"/>
  <c r="I141"/>
  <c r="H150"/>
  <c r="H146"/>
  <c r="H141"/>
  <c r="G150"/>
  <c r="G146"/>
  <c r="G141"/>
  <c r="F150"/>
  <c r="F146"/>
  <c r="F141"/>
  <c r="E150"/>
  <c r="E146"/>
  <c r="E141"/>
  <c r="D150"/>
  <c r="D146"/>
  <c r="D141"/>
  <c r="C150"/>
  <c r="C146"/>
  <c r="C141"/>
  <c r="K111"/>
  <c r="K107"/>
  <c r="K102"/>
  <c r="J111"/>
  <c r="J107"/>
  <c r="J102"/>
  <c r="I111"/>
  <c r="I107"/>
  <c r="I102"/>
  <c r="H111"/>
  <c r="H107"/>
  <c r="H102"/>
  <c r="G111"/>
  <c r="G107"/>
  <c r="G102"/>
  <c r="F111"/>
  <c r="F107"/>
  <c r="F102"/>
  <c r="E111"/>
  <c r="E107"/>
  <c r="E102"/>
  <c r="D111"/>
  <c r="D107"/>
  <c r="D102"/>
  <c r="C111"/>
  <c r="C107"/>
  <c r="C102"/>
  <c r="K137"/>
  <c r="K133"/>
  <c r="K128"/>
  <c r="J137"/>
  <c r="J133"/>
  <c r="J128"/>
  <c r="I137"/>
  <c r="I133"/>
  <c r="I128"/>
  <c r="H137"/>
  <c r="H133"/>
  <c r="H128"/>
  <c r="G137"/>
  <c r="G133"/>
  <c r="G128"/>
  <c r="F137"/>
  <c r="F133"/>
  <c r="F128"/>
  <c r="E137"/>
  <c r="E133"/>
  <c r="E128"/>
  <c r="D137"/>
  <c r="D133"/>
  <c r="D128"/>
  <c r="C137"/>
  <c r="C133"/>
  <c r="C128"/>
  <c r="K124"/>
  <c r="K120"/>
  <c r="K115"/>
  <c r="J124"/>
  <c r="J120"/>
  <c r="J115"/>
  <c r="I124"/>
  <c r="I120"/>
  <c r="I115"/>
  <c r="H124"/>
  <c r="H120"/>
  <c r="H115"/>
  <c r="G124"/>
  <c r="G120"/>
  <c r="G115"/>
  <c r="F124"/>
  <c r="F120"/>
  <c r="F115"/>
  <c r="E124"/>
  <c r="E120"/>
  <c r="E115"/>
  <c r="D124"/>
  <c r="D120"/>
  <c r="D115"/>
  <c r="C124"/>
  <c r="C120"/>
  <c r="C115"/>
  <c r="K98"/>
  <c r="K94"/>
  <c r="K89"/>
  <c r="J98"/>
  <c r="J94"/>
  <c r="J89"/>
  <c r="I98"/>
  <c r="I94"/>
  <c r="I89"/>
  <c r="H98"/>
  <c r="H94"/>
  <c r="H89"/>
  <c r="G98"/>
  <c r="G94"/>
  <c r="G89"/>
  <c r="F98"/>
  <c r="F94"/>
  <c r="F89"/>
  <c r="E98"/>
  <c r="E94"/>
  <c r="E89"/>
  <c r="D98"/>
  <c r="D94"/>
  <c r="D89"/>
  <c r="C98"/>
  <c r="C94"/>
  <c r="C89"/>
  <c r="K85"/>
  <c r="K81"/>
  <c r="K76"/>
  <c r="J85"/>
  <c r="J81"/>
  <c r="J76"/>
  <c r="I85"/>
  <c r="I81"/>
  <c r="I76"/>
  <c r="H85"/>
  <c r="H81"/>
  <c r="H76"/>
  <c r="G85"/>
  <c r="G81"/>
  <c r="G76"/>
  <c r="F85"/>
  <c r="F81"/>
  <c r="F76"/>
  <c r="E85"/>
  <c r="E81"/>
  <c r="E76"/>
  <c r="D85"/>
  <c r="D81"/>
  <c r="D76"/>
  <c r="C85"/>
  <c r="C81"/>
  <c r="C76"/>
  <c r="K71"/>
  <c r="K67"/>
  <c r="K62"/>
  <c r="J71"/>
  <c r="J67"/>
  <c r="J62"/>
  <c r="I71"/>
  <c r="I67"/>
  <c r="I62"/>
  <c r="H71"/>
  <c r="H67"/>
  <c r="H62"/>
  <c r="G71"/>
  <c r="G67"/>
  <c r="G62"/>
  <c r="F71"/>
  <c r="F67"/>
  <c r="F62"/>
  <c r="E71"/>
  <c r="E67"/>
  <c r="E62"/>
  <c r="D71"/>
  <c r="D67"/>
  <c r="D62"/>
  <c r="C71"/>
  <c r="C67"/>
  <c r="C62"/>
  <c r="K58"/>
  <c r="K54"/>
  <c r="K49"/>
  <c r="J58"/>
  <c r="J54"/>
  <c r="J49"/>
  <c r="I58"/>
  <c r="I54"/>
  <c r="I49"/>
  <c r="H58"/>
  <c r="H54"/>
  <c r="H49"/>
  <c r="G58"/>
  <c r="G54"/>
  <c r="G49"/>
  <c r="F58"/>
  <c r="F54"/>
  <c r="F49"/>
  <c r="E58"/>
  <c r="E54"/>
  <c r="E49"/>
  <c r="D58"/>
  <c r="D54"/>
  <c r="D49"/>
  <c r="C58"/>
  <c r="C54"/>
  <c r="C49"/>
  <c r="K45"/>
  <c r="K41"/>
  <c r="K36"/>
  <c r="J45"/>
  <c r="J41"/>
  <c r="J36"/>
  <c r="I45"/>
  <c r="I41"/>
  <c r="I36"/>
  <c r="H45"/>
  <c r="H41"/>
  <c r="H36"/>
  <c r="G45"/>
  <c r="G41"/>
  <c r="G36"/>
  <c r="F45"/>
  <c r="F41"/>
  <c r="F36"/>
  <c r="E45"/>
  <c r="E41"/>
  <c r="E36"/>
  <c r="D45"/>
  <c r="D41"/>
  <c r="D36"/>
  <c r="C45"/>
  <c r="C41"/>
  <c r="C36"/>
  <c r="K32"/>
  <c r="K28"/>
  <c r="K23"/>
  <c r="J32"/>
  <c r="J28"/>
  <c r="J23"/>
  <c r="I32"/>
  <c r="I28"/>
  <c r="I23"/>
  <c r="H32"/>
  <c r="H28"/>
  <c r="H23"/>
  <c r="G32"/>
  <c r="K153"/>
  <c r="K149"/>
  <c r="K145"/>
  <c r="J153"/>
  <c r="J149"/>
  <c r="J145"/>
  <c r="I153"/>
  <c r="I149"/>
  <c r="I145"/>
  <c r="H153"/>
  <c r="H149"/>
  <c r="H145"/>
  <c r="G153"/>
  <c r="G149"/>
  <c r="G145"/>
  <c r="F153"/>
  <c r="F149"/>
  <c r="F145"/>
  <c r="E153"/>
  <c r="E149"/>
  <c r="E145"/>
  <c r="D153"/>
  <c r="D149"/>
  <c r="D145"/>
  <c r="C153"/>
  <c r="C149"/>
  <c r="C145"/>
  <c r="K114"/>
  <c r="K110"/>
  <c r="K106"/>
  <c r="J114"/>
  <c r="J110"/>
  <c r="J106"/>
  <c r="I114"/>
  <c r="I110"/>
  <c r="I106"/>
  <c r="H114"/>
  <c r="H110"/>
  <c r="H106"/>
  <c r="G114"/>
  <c r="G110"/>
  <c r="G106"/>
  <c r="F114"/>
  <c r="F110"/>
  <c r="F106"/>
  <c r="E114"/>
  <c r="E110"/>
  <c r="E106"/>
  <c r="D114"/>
  <c r="D110"/>
  <c r="D106"/>
  <c r="C114"/>
  <c r="C110"/>
  <c r="C106"/>
  <c r="K140"/>
  <c r="K136"/>
  <c r="K132"/>
  <c r="J140"/>
  <c r="J136"/>
  <c r="J132"/>
  <c r="I140"/>
  <c r="I136"/>
  <c r="I132"/>
  <c r="H140"/>
  <c r="H136"/>
  <c r="H132"/>
  <c r="G140"/>
  <c r="G136"/>
  <c r="G132"/>
  <c r="F140"/>
  <c r="F136"/>
  <c r="F132"/>
  <c r="E140"/>
  <c r="E136"/>
  <c r="E132"/>
  <c r="D140"/>
  <c r="D136"/>
  <c r="D132"/>
  <c r="C140"/>
  <c r="C136"/>
  <c r="C132"/>
  <c r="K127"/>
  <c r="K123"/>
  <c r="K119"/>
  <c r="J127"/>
  <c r="J123"/>
  <c r="J119"/>
  <c r="I127"/>
  <c r="I123"/>
  <c r="I119"/>
  <c r="H127"/>
  <c r="H123"/>
  <c r="H119"/>
  <c r="G127"/>
  <c r="G123"/>
  <c r="G119"/>
  <c r="F127"/>
  <c r="F123"/>
  <c r="F119"/>
  <c r="E127"/>
  <c r="E123"/>
  <c r="E119"/>
  <c r="D127"/>
  <c r="D123"/>
  <c r="D119"/>
  <c r="C127"/>
  <c r="C123"/>
  <c r="C119"/>
  <c r="K101"/>
  <c r="K97"/>
  <c r="K93"/>
  <c r="J101"/>
  <c r="J97"/>
  <c r="J93"/>
  <c r="I101"/>
  <c r="I97"/>
  <c r="I93"/>
  <c r="H101"/>
  <c r="H97"/>
  <c r="H93"/>
  <c r="G101"/>
  <c r="G97"/>
  <c r="G93"/>
  <c r="F101"/>
  <c r="F97"/>
  <c r="F93"/>
  <c r="E101"/>
  <c r="E97"/>
  <c r="E93"/>
  <c r="D101"/>
  <c r="D97"/>
  <c r="D93"/>
  <c r="C101"/>
  <c r="C97"/>
  <c r="C93"/>
  <c r="K88"/>
  <c r="K84"/>
  <c r="K80"/>
  <c r="J88"/>
  <c r="J84"/>
  <c r="J80"/>
  <c r="I88"/>
  <c r="I84"/>
  <c r="I80"/>
  <c r="H88"/>
  <c r="H84"/>
  <c r="H80"/>
  <c r="G88"/>
  <c r="G84"/>
  <c r="G80"/>
  <c r="F88"/>
  <c r="F84"/>
  <c r="F80"/>
  <c r="E88"/>
  <c r="E84"/>
  <c r="E80"/>
  <c r="D88"/>
  <c r="D84"/>
  <c r="D80"/>
  <c r="C88"/>
  <c r="C84"/>
  <c r="C80"/>
  <c r="K74"/>
  <c r="K70"/>
  <c r="K66"/>
  <c r="J74"/>
  <c r="J70"/>
  <c r="J66"/>
  <c r="I74"/>
  <c r="I70"/>
  <c r="I66"/>
  <c r="H74"/>
  <c r="H70"/>
  <c r="H66"/>
  <c r="G74"/>
  <c r="G70"/>
  <c r="G66"/>
  <c r="F74"/>
  <c r="F70"/>
  <c r="F66"/>
  <c r="E74"/>
  <c r="E70"/>
  <c r="E66"/>
  <c r="D74"/>
  <c r="D70"/>
  <c r="D66"/>
  <c r="C74"/>
  <c r="C70"/>
  <c r="C66"/>
  <c r="K61"/>
  <c r="K57"/>
  <c r="K53"/>
  <c r="J61"/>
  <c r="J57"/>
  <c r="J53"/>
  <c r="I61"/>
  <c r="I57"/>
  <c r="I53"/>
  <c r="H61"/>
  <c r="H57"/>
  <c r="H53"/>
  <c r="G61"/>
  <c r="K147"/>
  <c r="J151"/>
  <c r="J143"/>
  <c r="I147"/>
  <c r="H151"/>
  <c r="H143"/>
  <c r="G147"/>
  <c r="F151"/>
  <c r="F143"/>
  <c r="E147"/>
  <c r="D151"/>
  <c r="D143"/>
  <c r="C147"/>
  <c r="K112"/>
  <c r="K104"/>
  <c r="J108"/>
  <c r="I112"/>
  <c r="I104"/>
  <c r="H108"/>
  <c r="G112"/>
  <c r="G104"/>
  <c r="F108"/>
  <c r="E112"/>
  <c r="E104"/>
  <c r="D108"/>
  <c r="C112"/>
  <c r="C104"/>
  <c r="K134"/>
  <c r="J138"/>
  <c r="J130"/>
  <c r="I134"/>
  <c r="H138"/>
  <c r="H130"/>
  <c r="G134"/>
  <c r="F138"/>
  <c r="F130"/>
  <c r="E134"/>
  <c r="D138"/>
  <c r="D130"/>
  <c r="C134"/>
  <c r="K125"/>
  <c r="K117"/>
  <c r="J121"/>
  <c r="I125"/>
  <c r="I117"/>
  <c r="H121"/>
  <c r="G125"/>
  <c r="G117"/>
  <c r="F121"/>
  <c r="E125"/>
  <c r="E117"/>
  <c r="D121"/>
  <c r="C125"/>
  <c r="C117"/>
  <c r="K95"/>
  <c r="J99"/>
  <c r="J91"/>
  <c r="I95"/>
  <c r="H99"/>
  <c r="H91"/>
  <c r="G95"/>
  <c r="F99"/>
  <c r="F91"/>
  <c r="E95"/>
  <c r="D99"/>
  <c r="D91"/>
  <c r="C95"/>
  <c r="K86"/>
  <c r="K78"/>
  <c r="J82"/>
  <c r="I86"/>
  <c r="I78"/>
  <c r="H82"/>
  <c r="G86"/>
  <c r="G78"/>
  <c r="F82"/>
  <c r="E86"/>
  <c r="E78"/>
  <c r="D82"/>
  <c r="C86"/>
  <c r="C78"/>
  <c r="K68"/>
  <c r="J72"/>
  <c r="J64"/>
  <c r="I68"/>
  <c r="H72"/>
  <c r="H64"/>
  <c r="G68"/>
  <c r="F72"/>
  <c r="F64"/>
  <c r="E68"/>
  <c r="D72"/>
  <c r="D64"/>
  <c r="C68"/>
  <c r="K59"/>
  <c r="K51"/>
  <c r="J55"/>
  <c r="I59"/>
  <c r="I51"/>
  <c r="H55"/>
  <c r="G59"/>
  <c r="G53"/>
  <c r="F60"/>
  <c r="F55"/>
  <c r="E61"/>
  <c r="E56"/>
  <c r="E51"/>
  <c r="D57"/>
  <c r="D52"/>
  <c r="C59"/>
  <c r="C53"/>
  <c r="K47"/>
  <c r="K42"/>
  <c r="J48"/>
  <c r="J43"/>
  <c r="J38"/>
  <c r="I44"/>
  <c r="I39"/>
  <c r="H46"/>
  <c r="H40"/>
  <c r="G47"/>
  <c r="G42"/>
  <c r="F48"/>
  <c r="F43"/>
  <c r="F38"/>
  <c r="E44"/>
  <c r="E39"/>
  <c r="D46"/>
  <c r="D40"/>
  <c r="C47"/>
  <c r="C42"/>
  <c r="K35"/>
  <c r="K30"/>
  <c r="K25"/>
  <c r="J31"/>
  <c r="J26"/>
  <c r="I33"/>
  <c r="I27"/>
  <c r="H34"/>
  <c r="H29"/>
  <c r="G35"/>
  <c r="G30"/>
  <c r="G26"/>
  <c r="F34"/>
  <c r="F30"/>
  <c r="F26"/>
  <c r="E34"/>
  <c r="E30"/>
  <c r="E26"/>
  <c r="D34"/>
  <c r="D30"/>
  <c r="D26"/>
  <c r="C34"/>
  <c r="C30"/>
  <c r="C26"/>
  <c r="K21"/>
  <c r="K17"/>
  <c r="K13"/>
  <c r="J21"/>
  <c r="J17"/>
  <c r="J13"/>
  <c r="I21"/>
  <c r="I17"/>
  <c r="I13"/>
  <c r="H21"/>
  <c r="H17"/>
  <c r="H13"/>
  <c r="G21"/>
  <c r="G17"/>
  <c r="G13"/>
  <c r="F21"/>
  <c r="F17"/>
  <c r="F13"/>
  <c r="E21"/>
  <c r="K148"/>
  <c r="J152"/>
  <c r="J144"/>
  <c r="I148"/>
  <c r="H152"/>
  <c r="H144"/>
  <c r="G148"/>
  <c r="F152"/>
  <c r="F144"/>
  <c r="E148"/>
  <c r="D152"/>
  <c r="D144"/>
  <c r="C148"/>
  <c r="K113"/>
  <c r="K105"/>
  <c r="J109"/>
  <c r="I113"/>
  <c r="I105"/>
  <c r="H109"/>
  <c r="G113"/>
  <c r="G105"/>
  <c r="F109"/>
  <c r="E113"/>
  <c r="E105"/>
  <c r="D109"/>
  <c r="C113"/>
  <c r="C105"/>
  <c r="K135"/>
  <c r="J139"/>
  <c r="J131"/>
  <c r="I135"/>
  <c r="H139"/>
  <c r="H131"/>
  <c r="G135"/>
  <c r="F139"/>
  <c r="F131"/>
  <c r="E135"/>
  <c r="D139"/>
  <c r="D131"/>
  <c r="C135"/>
  <c r="K126"/>
  <c r="K118"/>
  <c r="J122"/>
  <c r="I126"/>
  <c r="I118"/>
  <c r="H122"/>
  <c r="G126"/>
  <c r="G118"/>
  <c r="F122"/>
  <c r="E126"/>
  <c r="E118"/>
  <c r="D122"/>
  <c r="C126"/>
  <c r="C118"/>
  <c r="K96"/>
  <c r="J100"/>
  <c r="J92"/>
  <c r="I96"/>
  <c r="H100"/>
  <c r="H92"/>
  <c r="G96"/>
  <c r="F100"/>
  <c r="F92"/>
  <c r="E96"/>
  <c r="D100"/>
  <c r="D92"/>
  <c r="C96"/>
  <c r="K87"/>
  <c r="K79"/>
  <c r="J83"/>
  <c r="I87"/>
  <c r="I79"/>
  <c r="H83"/>
  <c r="G87"/>
  <c r="G79"/>
  <c r="F83"/>
  <c r="E87"/>
  <c r="E79"/>
  <c r="D83"/>
  <c r="C87"/>
  <c r="C79"/>
  <c r="K69"/>
  <c r="J73"/>
  <c r="J65"/>
  <c r="I69"/>
  <c r="H73"/>
  <c r="H65"/>
  <c r="G69"/>
  <c r="F73"/>
  <c r="F65"/>
  <c r="E69"/>
  <c r="D73"/>
  <c r="D65"/>
  <c r="C69"/>
  <c r="K60"/>
  <c r="K52"/>
  <c r="J56"/>
  <c r="I60"/>
  <c r="I52"/>
  <c r="H56"/>
  <c r="G60"/>
  <c r="G55"/>
  <c r="F61"/>
  <c r="F56"/>
  <c r="F51"/>
  <c r="E57"/>
  <c r="E52"/>
  <c r="D59"/>
  <c r="D53"/>
  <c r="C60"/>
  <c r="C55"/>
  <c r="K48"/>
  <c r="K43"/>
  <c r="K38"/>
  <c r="J44"/>
  <c r="J39"/>
  <c r="I46"/>
  <c r="I40"/>
  <c r="H47"/>
  <c r="H42"/>
  <c r="G48"/>
  <c r="G43"/>
  <c r="G38"/>
  <c r="F44"/>
  <c r="F39"/>
  <c r="E46"/>
  <c r="E40"/>
  <c r="D47"/>
  <c r="D42"/>
  <c r="C48"/>
  <c r="C43"/>
  <c r="C38"/>
  <c r="K31"/>
  <c r="K26"/>
  <c r="J33"/>
  <c r="J27"/>
  <c r="I34"/>
  <c r="I29"/>
  <c r="H35"/>
  <c r="H30"/>
  <c r="H25"/>
  <c r="G31"/>
  <c r="G27"/>
  <c r="F35"/>
  <c r="F31"/>
  <c r="F27"/>
  <c r="E35"/>
  <c r="E31"/>
  <c r="E27"/>
  <c r="D35"/>
  <c r="D31"/>
  <c r="D27"/>
  <c r="C35"/>
  <c r="C31"/>
  <c r="C27"/>
  <c r="K22"/>
  <c r="K18"/>
  <c r="K14"/>
  <c r="J22"/>
  <c r="J18"/>
  <c r="J14"/>
  <c r="I22"/>
  <c r="I18"/>
  <c r="I14"/>
  <c r="H22"/>
  <c r="H18"/>
  <c r="H14"/>
  <c r="G22"/>
  <c r="G18"/>
  <c r="G14"/>
  <c r="F22"/>
  <c r="F18"/>
  <c r="F14"/>
  <c r="E22"/>
  <c r="E18"/>
  <c r="E14"/>
  <c r="D22"/>
  <c r="D18"/>
  <c r="D14"/>
  <c r="C22"/>
  <c r="C18"/>
  <c r="C14"/>
  <c r="K143"/>
  <c r="I151"/>
  <c r="H147"/>
  <c r="G143"/>
  <c r="E151"/>
  <c r="D147"/>
  <c r="C143"/>
  <c r="J112"/>
  <c r="I108"/>
  <c r="H104"/>
  <c r="F112"/>
  <c r="E108"/>
  <c r="D104"/>
  <c r="K138"/>
  <c r="J134"/>
  <c r="I130"/>
  <c r="G138"/>
  <c r="F134"/>
  <c r="E130"/>
  <c r="C138"/>
  <c r="K121"/>
  <c r="J117"/>
  <c r="H125"/>
  <c r="G121"/>
  <c r="F117"/>
  <c r="D125"/>
  <c r="C121"/>
  <c r="K91"/>
  <c r="I99"/>
  <c r="H95"/>
  <c r="G91"/>
  <c r="E99"/>
  <c r="D95"/>
  <c r="C91"/>
  <c r="J86"/>
  <c r="I82"/>
  <c r="H78"/>
  <c r="F86"/>
  <c r="E82"/>
  <c r="D78"/>
  <c r="K72"/>
  <c r="J68"/>
  <c r="I64"/>
  <c r="G72"/>
  <c r="F68"/>
  <c r="E64"/>
  <c r="C72"/>
  <c r="K55"/>
  <c r="J51"/>
  <c r="H59"/>
  <c r="G56"/>
  <c r="F57"/>
  <c r="E59"/>
  <c r="D60"/>
  <c r="C61"/>
  <c r="C51"/>
  <c r="K39"/>
  <c r="J40"/>
  <c r="I42"/>
  <c r="H43"/>
  <c r="G44"/>
  <c r="F46"/>
  <c r="E47"/>
  <c r="D48"/>
  <c r="D38"/>
  <c r="C39"/>
  <c r="K27"/>
  <c r="J29"/>
  <c r="I30"/>
  <c r="H31"/>
  <c r="G33"/>
  <c r="G23"/>
  <c r="F28"/>
  <c r="E32"/>
  <c r="E23"/>
  <c r="D28"/>
  <c r="C32"/>
  <c r="C23"/>
  <c r="K15"/>
  <c r="J19"/>
  <c r="J10"/>
  <c r="I15"/>
  <c r="H19"/>
  <c r="H10"/>
  <c r="G15"/>
  <c r="F19"/>
  <c r="F10"/>
  <c r="E16"/>
  <c r="E10"/>
  <c r="D17"/>
  <c r="D12"/>
  <c r="C19"/>
  <c r="C13"/>
  <c r="K151"/>
  <c r="J147"/>
  <c r="I143"/>
  <c r="G151"/>
  <c r="F147"/>
  <c r="E143"/>
  <c r="C151"/>
  <c r="K108"/>
  <c r="J104"/>
  <c r="H112"/>
  <c r="G108"/>
  <c r="F104"/>
  <c r="D112"/>
  <c r="C108"/>
  <c r="K130"/>
  <c r="I138"/>
  <c r="H134"/>
  <c r="G130"/>
  <c r="E138"/>
  <c r="D134"/>
  <c r="C130"/>
  <c r="J125"/>
  <c r="I121"/>
  <c r="H117"/>
  <c r="F125"/>
  <c r="E121"/>
  <c r="D117"/>
  <c r="K99"/>
  <c r="J95"/>
  <c r="I91"/>
  <c r="G99"/>
  <c r="F95"/>
  <c r="E91"/>
  <c r="C99"/>
  <c r="K82"/>
  <c r="J78"/>
  <c r="H86"/>
  <c r="G82"/>
  <c r="F78"/>
  <c r="D86"/>
  <c r="C82"/>
  <c r="K64"/>
  <c r="I72"/>
  <c r="H68"/>
  <c r="G64"/>
  <c r="E72"/>
  <c r="D68"/>
  <c r="C64"/>
  <c r="J59"/>
  <c r="I55"/>
  <c r="H51"/>
  <c r="G51"/>
  <c r="F52"/>
  <c r="E53"/>
  <c r="D55"/>
  <c r="C56"/>
  <c r="K44"/>
  <c r="J46"/>
  <c r="I47"/>
  <c r="H48"/>
  <c r="H38"/>
  <c r="G39"/>
  <c r="F40"/>
  <c r="E42"/>
  <c r="D43"/>
  <c r="C44"/>
  <c r="K33"/>
  <c r="J34"/>
  <c r="I35"/>
  <c r="I25"/>
  <c r="H26"/>
  <c r="G28"/>
  <c r="F32"/>
  <c r="F23"/>
  <c r="E28"/>
  <c r="D32"/>
  <c r="D23"/>
  <c r="C28"/>
  <c r="K19"/>
  <c r="K10"/>
  <c r="J15"/>
  <c r="I19"/>
  <c r="I10"/>
  <c r="H15"/>
  <c r="G19"/>
  <c r="G10"/>
  <c r="F15"/>
  <c r="E19"/>
  <c r="E13"/>
  <c r="D20"/>
  <c r="D15"/>
  <c r="C21"/>
  <c r="C16"/>
  <c r="C10"/>
  <c r="K152"/>
  <c r="J148"/>
  <c r="I144"/>
  <c r="G152"/>
  <c r="F148"/>
  <c r="E144"/>
  <c r="C152"/>
  <c r="K109"/>
  <c r="J105"/>
  <c r="H113"/>
  <c r="G109"/>
  <c r="F105"/>
  <c r="D113"/>
  <c r="C109"/>
  <c r="K131"/>
  <c r="I139"/>
  <c r="H135"/>
  <c r="G131"/>
  <c r="E139"/>
  <c r="D135"/>
  <c r="C131"/>
  <c r="J126"/>
  <c r="I122"/>
  <c r="H118"/>
  <c r="F126"/>
  <c r="E122"/>
  <c r="D118"/>
  <c r="K100"/>
  <c r="J96"/>
  <c r="I92"/>
  <c r="G100"/>
  <c r="F96"/>
  <c r="E92"/>
  <c r="C100"/>
  <c r="K83"/>
  <c r="J79"/>
  <c r="H87"/>
  <c r="G83"/>
  <c r="F79"/>
  <c r="D87"/>
  <c r="C83"/>
  <c r="K65"/>
  <c r="I73"/>
  <c r="H69"/>
  <c r="G65"/>
  <c r="E73"/>
  <c r="D69"/>
  <c r="C65"/>
  <c r="J60"/>
  <c r="I56"/>
  <c r="H52"/>
  <c r="G52"/>
  <c r="F53"/>
  <c r="E55"/>
  <c r="D56"/>
  <c r="C57"/>
  <c r="K46"/>
  <c r="J47"/>
  <c r="I48"/>
  <c r="I38"/>
  <c r="H39"/>
  <c r="G40"/>
  <c r="F42"/>
  <c r="E43"/>
  <c r="D44"/>
  <c r="C46"/>
  <c r="K34"/>
  <c r="J35"/>
  <c r="J25"/>
  <c r="I26"/>
  <c r="H27"/>
  <c r="G29"/>
  <c r="F33"/>
  <c r="F25"/>
  <c r="E29"/>
  <c r="D33"/>
  <c r="D25"/>
  <c r="C29"/>
  <c r="K20"/>
  <c r="K12"/>
  <c r="J16"/>
  <c r="I20"/>
  <c r="I12"/>
  <c r="H16"/>
  <c r="G20"/>
  <c r="G12"/>
  <c r="F16"/>
  <c r="E20"/>
  <c r="E15"/>
  <c r="D21"/>
  <c r="D16"/>
  <c r="D10"/>
  <c r="C17"/>
  <c r="C12"/>
  <c r="D13"/>
  <c r="F12"/>
  <c r="H20"/>
  <c r="K16"/>
  <c r="E25"/>
  <c r="G34"/>
  <c r="K29"/>
  <c r="E48"/>
  <c r="I43"/>
  <c r="D51"/>
  <c r="G57"/>
  <c r="C73"/>
  <c r="I65"/>
  <c r="E83"/>
  <c r="J87"/>
  <c r="G92"/>
  <c r="C122"/>
  <c r="H126"/>
  <c r="E131"/>
  <c r="J135"/>
  <c r="F113"/>
  <c r="C144"/>
  <c r="H148"/>
  <c r="C20"/>
  <c r="E17"/>
  <c r="H12"/>
  <c r="J20"/>
  <c r="D29"/>
  <c r="G25"/>
  <c r="J30"/>
  <c r="E38"/>
  <c r="H44"/>
  <c r="C52"/>
  <c r="F59"/>
  <c r="K56"/>
  <c r="G73"/>
  <c r="D79"/>
  <c r="I83"/>
  <c r="E100"/>
  <c r="K92"/>
  <c r="G122"/>
  <c r="C139"/>
  <c r="I131"/>
  <c r="E109"/>
  <c r="J113"/>
  <c r="G144"/>
</calcChain>
</file>

<file path=xl/sharedStrings.xml><?xml version="1.0" encoding="utf-8"?>
<sst xmlns="http://schemas.openxmlformats.org/spreadsheetml/2006/main" count="2332" uniqueCount="356">
  <si>
    <t>Measure</t>
  </si>
  <si>
    <t>Measurable Annual Goals (MAGs)</t>
  </si>
  <si>
    <t>Massachusetts Department of Elementary and Secondary Education</t>
  </si>
  <si>
    <t>College Board Web Site</t>
  </si>
  <si>
    <t>National School Climate Center</t>
  </si>
  <si>
    <t>Examining Your School's Climate</t>
  </si>
  <si>
    <t>The Partnership for 21st Century Skills</t>
  </si>
  <si>
    <t>Your Plan for College</t>
  </si>
  <si>
    <t>Gallup Student Poll</t>
  </si>
  <si>
    <t>School code plus group</t>
  </si>
  <si>
    <t>School code</t>
  </si>
  <si>
    <t>Afr. Amer/Black</t>
  </si>
  <si>
    <t>Students w/disabilities</t>
  </si>
  <si>
    <t>Low income</t>
  </si>
  <si>
    <t>Hispanic/Latino</t>
  </si>
  <si>
    <t>ELL and Former ELL</t>
  </si>
  <si>
    <t>High needs</t>
  </si>
  <si>
    <t>White</t>
  </si>
  <si>
    <t>2012 
Target</t>
  </si>
  <si>
    <t>2013 
Target</t>
  </si>
  <si>
    <t>2014 
Target</t>
  </si>
  <si>
    <t>2015 
Target</t>
  </si>
  <si>
    <t>2016 
Target</t>
  </si>
  <si>
    <t>Teacher attendance rate</t>
  </si>
  <si>
    <t>Student rates</t>
  </si>
  <si>
    <t>Student achievement</t>
  </si>
  <si>
    <t>College readiness and school culture</t>
  </si>
  <si>
    <t>Back to table of contents</t>
  </si>
  <si>
    <t>MGL Chapter 69,  Section 1J( c ): (1) student attendance, dismissal rates, and exclusion rates</t>
  </si>
  <si>
    <t>MGL Chapter 69,  Section 1J( c ): (2) student safety and discipline</t>
  </si>
  <si>
    <t>MGL Chapter 69,  Section 1J( c ): (3a) student promotion and dropout rates</t>
  </si>
  <si>
    <t>MGL Chapter 69,  Section 1J( c ): (3b) graduation rates</t>
  </si>
  <si>
    <t>Link to historical data (DART)</t>
  </si>
  <si>
    <r>
      <t xml:space="preserve">Attendance rate (increase)
</t>
    </r>
    <r>
      <rPr>
        <sz val="10"/>
        <color theme="1"/>
        <rFont val="Calibri"/>
        <family val="2"/>
        <scheme val="minor"/>
      </rPr>
      <t>Total # of days students attended school divided by total # of days students were enrolled during the school year. Set, at a minimum, a goal of 92% or improvement of at least 1% from the prior year if below 92%. (Source: SIMS)</t>
    </r>
  </si>
  <si>
    <r>
      <t xml:space="preserve">Dismissal rate (decrease)
</t>
    </r>
    <r>
      <rPr>
        <sz val="10"/>
        <color theme="1"/>
        <rFont val="Calibri"/>
        <family val="2"/>
        <scheme val="minor"/>
      </rPr>
      <t>Total # of dismissals from non-routine student-nurse encounters) / (total # of non-routine encounters), or a similar measure. (Source: DPH)</t>
    </r>
  </si>
  <si>
    <r>
      <rPr>
        <b/>
        <sz val="10"/>
        <color theme="1"/>
        <rFont val="Calibri"/>
        <family val="2"/>
        <scheme val="minor"/>
      </rPr>
      <t>Out-of-school suspension rate (decrease)</t>
    </r>
    <r>
      <rPr>
        <sz val="10"/>
        <color theme="1"/>
        <rFont val="Calibri"/>
        <family val="2"/>
        <scheme val="minor"/>
      </rPr>
      <t xml:space="preserve">
Percentage of enrolled students who received 1+  out-of-school suspensions. (Source: SIMS)</t>
    </r>
  </si>
  <si>
    <r>
      <t xml:space="preserve">In-school suspension rate (decrease)
</t>
    </r>
    <r>
      <rPr>
        <sz val="10"/>
        <color theme="1"/>
        <rFont val="Calibri"/>
        <family val="2"/>
        <scheme val="minor"/>
      </rPr>
      <t>Percentage of enrolled students who received 1+ in-school suspensions. (Source: SIMS)</t>
    </r>
  </si>
  <si>
    <t>Link to historical data (School &amp; District Profiles Indicators Report)</t>
  </si>
  <si>
    <r>
      <rPr>
        <b/>
        <sz val="10"/>
        <color theme="1"/>
        <rFont val="Calibri"/>
        <family val="2"/>
        <scheme val="minor"/>
      </rPr>
      <t>Number of drug, weapon, or violence incidents (decrease)</t>
    </r>
    <r>
      <rPr>
        <sz val="10"/>
        <color theme="1"/>
        <rFont val="Calibri"/>
        <family val="2"/>
        <scheme val="minor"/>
      </rPr>
      <t xml:space="preserve">
# of incidents involving drugs, violence or criminal incident on school property. (Source: SSDR)</t>
    </r>
  </si>
  <si>
    <t>Link to historical data (Accountability Data Drop Box in Drop Box Central on the Security Portal)</t>
  </si>
  <si>
    <r>
      <t xml:space="preserve">Retention rate (decrease)
</t>
    </r>
    <r>
      <rPr>
        <sz val="10"/>
        <color theme="1"/>
        <rFont val="Calibri"/>
        <family val="2"/>
        <scheme val="minor"/>
      </rPr>
      <t>Percentage of enrolled students repeating the grade in which they were enrolled the previous year (as of October 1). (Source: SIMS)</t>
    </r>
  </si>
  <si>
    <r>
      <t xml:space="preserve">Dropout recovery rate (Increase)
</t>
    </r>
    <r>
      <rPr>
        <sz val="10"/>
        <color theme="1"/>
        <rFont val="Calibri"/>
        <family val="2"/>
        <scheme val="minor"/>
      </rPr>
      <t>(Source: SIMS)</t>
    </r>
  </si>
  <si>
    <t>MGL Chapter 69, Section 1J( c ): (4) student achievement on the Massachusetts Comprehensive Assessment System; (5) progress in areas of academic underperformance; (6) progress among subgroups of students, including low-income students as defined by chapter 70, limited English-proficient students and students receiving special education; (7) reduction of achievement gaps among different groups of students</t>
  </si>
  <si>
    <r>
      <t xml:space="preserve">Narrowing proficiency gaps (ELA)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</si>
  <si>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t>Amer. Ind. or Alaska Nat.</t>
  </si>
  <si>
    <t>Asian</t>
  </si>
  <si>
    <t>Multi-race, Non-Hisp./Lat.</t>
  </si>
  <si>
    <t>Nat. Haw. or Pacif. Isl.</t>
  </si>
  <si>
    <r>
      <t xml:space="preserve">Narrowing proficiency gaps (Math)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</si>
  <si>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r>
      <t xml:space="preserve">Narrowing proficiency gaps (Science) - All students
</t>
    </r>
    <r>
      <rPr>
        <sz val="10"/>
        <color theme="1"/>
        <rFont val="Calibri"/>
        <family val="2"/>
        <scheme val="minor"/>
      </rPr>
      <t>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r>
  </si>
  <si>
    <t>MGL Chapter 69, Section 1J( c ): (8) student acquisition and mastery of twenty-first century skills</t>
  </si>
  <si>
    <t>MGL Chapter 69, Section 1J( c ): (9) development of college readiness, including at the elementary and middle school levels</t>
  </si>
  <si>
    <t>MGL Chapter 69, Section 1J( c ): (10) parent and family engagement</t>
  </si>
  <si>
    <t>MGL Chapter 69, Section 1J( c ): (11) building a culture of academic success among students</t>
  </si>
  <si>
    <t xml:space="preserve">MGL Chapter 69, Section 1J( c ): (12) building a culture of student support and success among school faculty and staff </t>
  </si>
  <si>
    <t>MGL Chapter 69, Section 1J( c ): (13) developmentally appropriate child assessments from pre-kindergarten through third grade, if applicable</t>
  </si>
  <si>
    <t>District-defined measures (optional)</t>
  </si>
  <si>
    <t>Percentage of high school graduates completing MassCore requirements (HS)</t>
  </si>
  <si>
    <t>Percentage of students mastering learning and innovation skills (ALL)</t>
  </si>
  <si>
    <t>Sample college readiness and school culture measures</t>
  </si>
  <si>
    <t>Percentage of grade 3 students scoring proficient or higher on ELA MCAS* (ES)</t>
  </si>
  <si>
    <t>Percentage of students demonstrating advanced reading levels based on district assessments* (ALL)</t>
  </si>
  <si>
    <t>Percentage of grade 5 students scoring Proficient or higher on Math MCAS* (ES, MS)</t>
  </si>
  <si>
    <t>Percentage of students completing Algebra I by the end of grade 8* (ES, MS)</t>
  </si>
  <si>
    <t>Percentage of grade 9 students passing all courses* (HS)</t>
  </si>
  <si>
    <t>Percentage of English language learners who attained English language proficiency (ALL)</t>
  </si>
  <si>
    <t>Percentage of students completing a work-based learning plan* (MS, HS)</t>
  </si>
  <si>
    <t>Percentage of students with a college/career plan* (MS, HS)</t>
  </si>
  <si>
    <t>Percentage of students enrolled in at least one AP course* (HS)</t>
  </si>
  <si>
    <t>Percentage of students taking the AP exam with a score of 3 or higher* (HS)</t>
  </si>
  <si>
    <t>Percentage of students taking the International Baccalaureate exam with a score of 4 or higher by the end of grade 12* (HS)</t>
  </si>
  <si>
    <t>Percentage of students taking the SAT* (HS)</t>
  </si>
  <si>
    <t>Percentage of students taking the SAT with a combined score of 1650 or higher* (HS)</t>
  </si>
  <si>
    <t>Percentage of students reporting reading texts at home not required in school (ALL)</t>
  </si>
  <si>
    <t>Percentage of students demonstrating proficiency in research skills (ALL)</t>
  </si>
  <si>
    <t>Percentage of students demonstrating proficiency in critical thinking skills (ALL)</t>
  </si>
  <si>
    <t>Percentage of students taking post-secondary coursework (HS)</t>
  </si>
  <si>
    <t>Percentage of students enrolling in two-to four-year colleges (HS)</t>
  </si>
  <si>
    <t>Percentage of students participating in college access activities (HS)</t>
  </si>
  <si>
    <t>Percentage of students reporting thinking about going to college and who understand what it takes to get there (MS, HS)</t>
  </si>
  <si>
    <t>Percentage of grade 11-12 students taking courses in science, technology, engineering, or mathematics (STEM) (HS)</t>
  </si>
  <si>
    <t>Percentage of grade 10 students taking the PSAT (HS)</t>
  </si>
  <si>
    <t>Percentage of grade 12 students completing required mathematics courses (HS)</t>
  </si>
  <si>
    <t>Percentage of parents reporting the school has engaged them in preparing their children for post-secondary plans (MS, HS)</t>
  </si>
  <si>
    <t>Percentage of parents attending at least one teacher-parent conference during the school year (ALL)</t>
  </si>
  <si>
    <t>Percentage of parents reporting that they feel welcomed, valued, and connected to each other, to teachers, and to what students are learning and doing in class (ALL)</t>
  </si>
  <si>
    <t>Percentage of parents volunteering at the school during the school year (ALL)</t>
  </si>
  <si>
    <t>Percentage of parents reporting that they engage in regular, two-way, meaningful communication about student learning with teachers and other school staff (ALL)</t>
  </si>
  <si>
    <t>Percentage of parents reporting meaningful opportunities to engage with and/or contribute to the school (ALL)</t>
  </si>
  <si>
    <t>Percentage of parents reporting an understanding of the school's turnaround efforts, the targets the school is striving for, and their role in contributing to reaching these goals (ALL)</t>
  </si>
  <si>
    <t>Overall score on parent-family perception survey in the area of involvement in child-based activities (ALL)</t>
  </si>
  <si>
    <t>Percentage of teachers, students, and families agreeing that the school supports the academic success of students (ALL)</t>
  </si>
  <si>
    <t>Percentage of students reporting that peers encourage each others' success (ALL)</t>
  </si>
  <si>
    <t>Percentage of students reporting they feel challenged and held to high standards for performance (ALL)</t>
  </si>
  <si>
    <t>Percentage of students reporting they feel known and understood by at least one adult in the school (ALL)</t>
  </si>
  <si>
    <t>Percentage of students reporting offered (and taking advantage of) additional supports to supplement and/or extend learning (ALL)</t>
  </si>
  <si>
    <t>Percentage of students reporting that effort and good work are recognized by the school (ALL)</t>
  </si>
  <si>
    <t>Percentage of students reporting that they succeed because they want to (i.e., not for an extrinsic reward) (ALL)</t>
  </si>
  <si>
    <t>Percentage of students reporting a belief that people get smart by working hard (ALL)</t>
  </si>
  <si>
    <t>Percentage of students rated as "Thriving" on well-being index (grades 5-12)</t>
  </si>
  <si>
    <t>Mean score on student engagement index (grades 5-12)</t>
  </si>
  <si>
    <t>Mean score on student hope index (grades 5-12)</t>
  </si>
  <si>
    <t>Mean score on an index of school culture (completed by students, families, and teachers) (ALL)</t>
  </si>
  <si>
    <t>Percentage of teachers observed implementing key instructional practices supported through professional development, as evidenced by data collected through learning walks, feedback forms completed by instructional coaches, or other measures (ALL)</t>
  </si>
  <si>
    <t>Percentage of grade-level teams practicing targeted professional learning strategies as determined by identified tools within the common planning time self-assessment toolkit (ALL)</t>
  </si>
  <si>
    <t>Percentage of students, teachers, staff, and/or families reporting that the school is physically safe and conducive to learning (ALL)</t>
  </si>
  <si>
    <t>Percentage of students, teachers, staff, and/or families reporting that they feel challenged and held to high performance standards (ALL)</t>
  </si>
  <si>
    <t>Percentage of teachers and staff reporting that they feel a sense of urgency to improve student outcomes (ALL)</t>
  </si>
  <si>
    <t>Rating on a school culture/climate observation instrument conducted by an independent evaluator (ALL)</t>
  </si>
  <si>
    <t>Score on the school mental health capacity instrument (ALL)</t>
  </si>
  <si>
    <t>Percentage of teachers reporting using the results of formative or interim assessments to improve their instruction to meet student needs (ALL)</t>
  </si>
  <si>
    <t>Percentage of teachers reporting a responsibility for all students in the school (ALL)</t>
  </si>
  <si>
    <t>Percentage of students and families reporting they feel the school wants students to succeed (ALL)</t>
  </si>
  <si>
    <t>Percentage of non-instructional staff reporting feeling involved in and contributing to a culture of success in the school (ES)</t>
  </si>
  <si>
    <t>Percentage of grades K-2 students reaching the end-of-year grade level target on the Developmental Reading Assessment (ES)</t>
  </si>
  <si>
    <t>Percentage of grades K-3 students reaching grade level benchmarks on the Dynamic Indicators of Basic Early Literacy Skills (DIBELS) (ES)</t>
  </si>
  <si>
    <t>Percentage of grades 2-3 students achieving a national percentile rank (NPR) of 50 or higher on the total comprehension portion of the GRADE reading assessment  (ES)</t>
  </si>
  <si>
    <t>Percentage of grades 2-3 students eligible to take the reading comprehension portion of the GRADE assessment achieving a median score of stanine 6 or above (ES)</t>
  </si>
  <si>
    <t>Percentage of teachers incorporating the results of a developmentally appropriate child assessment to teach literacy as determined by a learning walkthrough or classroom observation instrument (ES)</t>
  </si>
  <si>
    <t>http://www.doe.mass.edu/connect/</t>
  </si>
  <si>
    <t>http://www.skillslibrary.com/wbl.htm</t>
  </si>
  <si>
    <t>Link to historical data (School &amp; District Profiles AP Report)</t>
  </si>
  <si>
    <t>Link to historical data (School &amp; District Profiles MCAS Report)</t>
  </si>
  <si>
    <t>College &amp; Career Readiness: High School &amp; College Alignment</t>
  </si>
  <si>
    <t>Link to historical data (School &amp; District Profiles Graduates Attending Institutions of Higher Education Report)</t>
  </si>
  <si>
    <t>Parent &amp; Community Education &amp; Involvement Advisory Council Family &amp; Community Engagement Standards</t>
  </si>
  <si>
    <t xml:space="preserve">Safe &amp; Supportive School Technical Assistance Center </t>
  </si>
  <si>
    <t>Afr. Amer./Black</t>
  </si>
  <si>
    <t>District Analysis, Review, &amp; Assistance Tools (Student Support Tab)</t>
  </si>
  <si>
    <t>Learning Walk Implementation Guide</t>
  </si>
  <si>
    <t>DRA web site (Pearson PreK-12 Education)</t>
  </si>
  <si>
    <t>DIBELS web site (University of Oregon)</t>
  </si>
  <si>
    <t>GRADE Reading Assessment (Pearson PreK-12 Education)</t>
  </si>
  <si>
    <t>In addition to the specified measures above, other potential measures to consider for this category are presented below. These are suggested measures based on best practice and research, notably those marked with an asterisk (*). (ES = suitable for elementary schools; MS = suitable for middle schools; HS = suitable for high schools; ALL = suitable for all schools)
NOTE: Reference to any specific commercial products, processes, or services, or the use of any trade, firm or corporation name is for the information and convenience of the public, and does not constitute endorsement or recommendation by ESE)</t>
  </si>
  <si>
    <t>Percentage of students reporting that the school is emotionally and physically safe and conducive to learning (ALL)</t>
  </si>
  <si>
    <t>Percentage of teachers and staff reporting that the school supports the academic success of all students (ALL)</t>
  </si>
  <si>
    <r>
      <t xml:space="preserve">Progress on the English Language proficiency ACCESS test (for English language learners)
</t>
    </r>
    <r>
      <rPr>
        <sz val="10"/>
        <color theme="1"/>
        <rFont val="Calibri"/>
        <family val="2"/>
        <scheme val="minor"/>
      </rPr>
      <t>Set MAGs for this measure if the school has an accountable ELL and Former ELL subgroup for the ELA and mathematics narrowing proficiency gaps indicators.</t>
    </r>
  </si>
  <si>
    <t>2011
Baseline</t>
  </si>
  <si>
    <t>2012
Actual</t>
  </si>
  <si>
    <t>2012 Baseline</t>
  </si>
  <si>
    <t>Instructions and notes:</t>
  </si>
  <si>
    <r>
      <t xml:space="preserve">Set MAGs for each of the following areas: student acquisition and mastery of twenty-first century skills; development of college readiness, including at the elementary and middle school levels;  parent and family engagement;  building a culture of academic success among students; building a culture of student support and success among school faculty and staff; and developmentally appropriate child assessments from pre-kindergarten through third grade, if applicable. In the last column, indicate the priority area or strategy addressed by the MAG in the turnaround plan.
</t>
    </r>
    <r>
      <rPr>
        <b/>
        <sz val="10"/>
        <color theme="1"/>
        <rFont val="Calibri"/>
        <family val="2"/>
        <scheme val="minor"/>
      </rPr>
      <t>In addition to the pre-populated measures specified for this category, other potential measures to consider are also provided. Scroll down to view these measures.</t>
    </r>
  </si>
  <si>
    <t>2013
Actual</t>
  </si>
  <si>
    <t>system</t>
  </si>
  <si>
    <t>District</t>
  </si>
  <si>
    <t>Select_School</t>
  </si>
  <si>
    <t>Select_Group</t>
  </si>
  <si>
    <t>MA_Status11</t>
  </si>
  <si>
    <t>New Bedford - John Avery Parker (02010115)</t>
  </si>
  <si>
    <t>School name</t>
  </si>
  <si>
    <t>School type</t>
  </si>
  <si>
    <t>Group</t>
  </si>
  <si>
    <t>ELA baseline</t>
  </si>
  <si>
    <t>ELA target 2012</t>
  </si>
  <si>
    <t>ELA target 2013</t>
  </si>
  <si>
    <t>ELA target 2014</t>
  </si>
  <si>
    <t>ELA target 2015</t>
  </si>
  <si>
    <t>ELA target 2016</t>
  </si>
  <si>
    <t>ELA target 2017</t>
  </si>
  <si>
    <t>Math baseline</t>
  </si>
  <si>
    <t>Math Target 2012</t>
  </si>
  <si>
    <t>Math Target 2013</t>
  </si>
  <si>
    <t>Math Target 2014</t>
  </si>
  <si>
    <t>Math Target 2015</t>
  </si>
  <si>
    <t>Math Target 2016</t>
  </si>
  <si>
    <t>Math Target 2017</t>
  </si>
  <si>
    <t>Science baseline</t>
  </si>
  <si>
    <t>Science target 2012</t>
  </si>
  <si>
    <t>Science target 2013</t>
  </si>
  <si>
    <t>Science target 2014</t>
  </si>
  <si>
    <t>Science target 2015</t>
  </si>
  <si>
    <t>Science target 2016</t>
  </si>
  <si>
    <t>Science target 2017</t>
  </si>
  <si>
    <t>4-yr grad rate baseline</t>
  </si>
  <si>
    <t>4-yr grad rate target 2013</t>
  </si>
  <si>
    <t>4-yr grad rate target 2014</t>
  </si>
  <si>
    <t>4-yr grad rate target 2015</t>
  </si>
  <si>
    <t>4-yr grad rate target 2016</t>
  </si>
  <si>
    <t>4-yr grad rate target 2017</t>
  </si>
  <si>
    <t>5-yr grad rate baseline</t>
  </si>
  <si>
    <t>4-yr grad rate target 2012</t>
  </si>
  <si>
    <t>5-yr grad rate target 2012</t>
  </si>
  <si>
    <t>5-yr grad rate target 2013</t>
  </si>
  <si>
    <t>5-yr grad rate target 2014</t>
  </si>
  <si>
    <t>5-yr grad rate target 2015</t>
  </si>
  <si>
    <t>5-yr grad rate target 2016</t>
  </si>
  <si>
    <t>5-yr grad rate target 2017</t>
  </si>
  <si>
    <t>Dropout rate baseline</t>
  </si>
  <si>
    <t>Dropout rate target 2012</t>
  </si>
  <si>
    <t>Dropout rate target 2013</t>
  </si>
  <si>
    <t>Dropout rate target 2014</t>
  </si>
  <si>
    <t>Dropout rate target 2015</t>
  </si>
  <si>
    <t>Dropout rate target 2016</t>
  </si>
  <si>
    <t>Dropout rate target 2017</t>
  </si>
  <si>
    <t>ELA SGP baseline</t>
  </si>
  <si>
    <t>ELA SGP target 2012</t>
  </si>
  <si>
    <t>ELA SGP target 2013</t>
  </si>
  <si>
    <t>ELA SGP target 2014</t>
  </si>
  <si>
    <t>ELA SGP target 2015</t>
  </si>
  <si>
    <t>ELA SGP target 2016</t>
  </si>
  <si>
    <t>ELA SGP target 2017</t>
  </si>
  <si>
    <t>Math SGP baseline</t>
  </si>
  <si>
    <t>Math SGP target 2012</t>
  </si>
  <si>
    <t>Math SGP target 2013</t>
  </si>
  <si>
    <t>Math SGP target 2014</t>
  </si>
  <si>
    <t>Math SGP target 2015</t>
  </si>
  <si>
    <t>Math SGP target 2016</t>
  </si>
  <si>
    <t>Math SGP target 2017</t>
  </si>
  <si>
    <t>ELA CPI 2012</t>
  </si>
  <si>
    <t>Math CPI 2012</t>
  </si>
  <si>
    <t>Science CPI 2012</t>
  </si>
  <si>
    <t>ELA CPI 2013</t>
  </si>
  <si>
    <t>Math CPI 2013</t>
  </si>
  <si>
    <t>Science CPI 2013</t>
  </si>
  <si>
    <t>ELA SGP 2012</t>
  </si>
  <si>
    <t>Math SGP 2012</t>
  </si>
  <si>
    <t>ELA SGP 2013</t>
  </si>
  <si>
    <t>Math SGP 2013</t>
  </si>
  <si>
    <t>ELA W/F % 2011</t>
  </si>
  <si>
    <t>ELA W/F % target 2012</t>
  </si>
  <si>
    <t>ELA W/F % 2012</t>
  </si>
  <si>
    <t>ELA W/F % target 2013</t>
  </si>
  <si>
    <t>ELA W/F % 2013</t>
  </si>
  <si>
    <t>ELA W/F % target 2014</t>
  </si>
  <si>
    <t>ELA W/F % target 2015</t>
  </si>
  <si>
    <t>ELA W/F % target 2016</t>
  </si>
  <si>
    <t>ELA W/F % target 2017</t>
  </si>
  <si>
    <t>Math W/F % 2011</t>
  </si>
  <si>
    <t>Math W/F % target 2012</t>
  </si>
  <si>
    <t>Math W/F % 2012</t>
  </si>
  <si>
    <t>Math W/F % target 2013</t>
  </si>
  <si>
    <t>Math W/F % 2013</t>
  </si>
  <si>
    <t>Math W/F % target 2014</t>
  </si>
  <si>
    <t>Math W/F % target 2015</t>
  </si>
  <si>
    <t>Math W/F % target 2016</t>
  </si>
  <si>
    <t>Math W/F % target 2017</t>
  </si>
  <si>
    <t>Science W/F % target 2012</t>
  </si>
  <si>
    <t>Science W/F % 2012</t>
  </si>
  <si>
    <t>Science W/F % target 2013</t>
  </si>
  <si>
    <t>Science W/F % 2013</t>
  </si>
  <si>
    <t>Science W/F % target 2014</t>
  </si>
  <si>
    <t>Science W/F % target 2015</t>
  </si>
  <si>
    <t>Science W/F % target 2016</t>
  </si>
  <si>
    <t>Science W/F % target 2017</t>
  </si>
  <si>
    <t>Science W/F % 2011</t>
  </si>
  <si>
    <t>ELA Adv % 2011</t>
  </si>
  <si>
    <t>ELA Adv % target 2012</t>
  </si>
  <si>
    <t>ELA Adv % 2012</t>
  </si>
  <si>
    <t>ELA Adv % target 2013</t>
  </si>
  <si>
    <t>ELA Adv % 2013</t>
  </si>
  <si>
    <t>ELA Adv % target 2014</t>
  </si>
  <si>
    <t>ELA Adv % target 2015</t>
  </si>
  <si>
    <t>ELA Adv % target 2016</t>
  </si>
  <si>
    <t>ELA Adv % target 2017</t>
  </si>
  <si>
    <t>Math Adv % 2011</t>
  </si>
  <si>
    <t>Math Adv % target 2012</t>
  </si>
  <si>
    <t>Math Adv % 2012</t>
  </si>
  <si>
    <t>Math Adv % target 2013</t>
  </si>
  <si>
    <t>Math Adv % 2013</t>
  </si>
  <si>
    <t>Math Adv % target 2014</t>
  </si>
  <si>
    <t>Math Adv % target 2015</t>
  </si>
  <si>
    <t>Math Adv % target 2016</t>
  </si>
  <si>
    <t>Math Adv % target 2017</t>
  </si>
  <si>
    <t>Science Adv % 2011</t>
  </si>
  <si>
    <t>Science Adv % target 2012</t>
  </si>
  <si>
    <t>Science Adv % 2012</t>
  </si>
  <si>
    <t>Science Adv % target 2013</t>
  </si>
  <si>
    <t>Science Adv % 2013</t>
  </si>
  <si>
    <t>Science Adv % target 2014</t>
  </si>
  <si>
    <t>Science Adv % target 2015</t>
  </si>
  <si>
    <t>Science Adv % target 2016</t>
  </si>
  <si>
    <t>Science Adv % target 2017</t>
  </si>
  <si>
    <t>2012 Dropout rate</t>
  </si>
  <si>
    <t>2011 Dropout rate</t>
  </si>
  <si>
    <t>2011 4-yr grad rate</t>
  </si>
  <si>
    <t>2010 5-yr grad rate</t>
  </si>
  <si>
    <t>2012 4-yr grad rate</t>
  </si>
  <si>
    <t>2011 5-yr grad rate</t>
  </si>
  <si>
    <t>2017
Target</t>
  </si>
  <si>
    <t>2016
Target</t>
  </si>
  <si>
    <t>2017 
Target</t>
  </si>
  <si>
    <r>
      <t xml:space="preserve">Growth (ELA)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</si>
  <si>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r>
      <t xml:space="preserve">Growth (Math) - All students
</t>
    </r>
    <r>
      <rPr>
        <sz val="10"/>
        <color theme="1"/>
        <rFont val="Calibri"/>
        <family val="2"/>
        <scheme val="minor"/>
      </rPr>
      <t>All groups (districts, schools, and subgroups) are expected to demonstrate growth in student performance at or near the state median or show high growth each year between 2011 and 2017. Massachusetts uses Student Growth Percentiles (SGP) to measure how a group of students’ achievement has grown or changed over time. To be considered "on target", a group's SGP must increase by 10 points or more from the previous year, or a group must achieve or maintain a median SGP at least one point above the state median. In 2013, that figure is 51.</t>
    </r>
  </si>
  <si>
    <t>--</t>
  </si>
  <si>
    <t>Level 4</t>
  </si>
  <si>
    <t>All students</t>
  </si>
  <si>
    <t>ES</t>
  </si>
  <si>
    <t>0201</t>
  </si>
  <si>
    <t>New Bedford</t>
  </si>
  <si>
    <t>02010115Asian</t>
  </si>
  <si>
    <t>02010115A</t>
  </si>
  <si>
    <t>02010115</t>
  </si>
  <si>
    <t>John Avery Parker</t>
  </si>
  <si>
    <t>02010115Afr. Amer/Black</t>
  </si>
  <si>
    <t>02010115B</t>
  </si>
  <si>
    <t>02010115White</t>
  </si>
  <si>
    <t>02010115C</t>
  </si>
  <si>
    <t>02010115Students w/disabilities</t>
  </si>
  <si>
    <t>02010115D</t>
  </si>
  <si>
    <t>02010115Low income</t>
  </si>
  <si>
    <t>02010115F</t>
  </si>
  <si>
    <t>02010115Hispanic/Latino</t>
  </si>
  <si>
    <t>02010115H</t>
  </si>
  <si>
    <t>02010115ELL and Former ELL</t>
  </si>
  <si>
    <t>02010115L</t>
  </si>
  <si>
    <t>02010115Multi-race, Non-Hisp./Lat.</t>
  </si>
  <si>
    <t>02010115M</t>
  </si>
  <si>
    <t>02010115Amer. Ind. or Alaska Nat.</t>
  </si>
  <si>
    <t>02010115N</t>
  </si>
  <si>
    <t>02010115Nat. Haw. or Pacif. Isl.</t>
  </si>
  <si>
    <t>02010115P</t>
  </si>
  <si>
    <t>02010115High needs</t>
  </si>
  <si>
    <t>02010115S</t>
  </si>
  <si>
    <t>02010115All students</t>
  </si>
  <si>
    <t>02010115T</t>
  </si>
  <si>
    <r>
      <t xml:space="preserve">Annual dropout rate - All students
</t>
    </r>
    <r>
      <rPr>
        <sz val="10"/>
        <color theme="1"/>
        <rFont val="Calibri"/>
        <family val="2"/>
        <scheme val="minor"/>
      </rPr>
      <t>Percentage of students in grades 9-12 who dropped out of school between July 1 and June 30 prior to the listed year and who did not return to school by the following October 1 of the following year. All data are lagged by one year. Dropouts are defined as students who leave school prior to graduation for reasons other than transfer to another school. (Source: Pre-populated by ESE from accountability data. A minimum N of 20 for all students and 30 for subgroups are required for MAGs to be set.)</t>
    </r>
  </si>
  <si>
    <r>
      <t xml:space="preserve">4-Year cohort graduation rate - All students
</t>
    </r>
    <r>
      <rPr>
        <sz val="10"/>
        <color theme="1"/>
        <rFont val="Calibri"/>
        <family val="2"/>
        <scheme val="minor"/>
      </rPr>
      <t># of students in a cohort who graduate in 4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</si>
  <si>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r>
      <t xml:space="preserve">5-Year cohort graduation rate - All students
</t>
    </r>
    <r>
      <rPr>
        <sz val="10"/>
        <color theme="1"/>
        <rFont val="Calibri"/>
        <family val="2"/>
        <scheme val="minor"/>
      </rPr>
      <t># of students in a cohort who graduate in 5 years or less divided by the # of first-time grade 9 students, minus transfers out, plus transfers in. All data are lagged by one year. (Source: Pre-populated by ESE from accountability data. A minimum N of 20 for all students and 30 for subgroups are required for MAGs to be set.)</t>
    </r>
  </si>
  <si>
    <r>
      <t xml:space="preserve">Percentage of students absent greater than 10% of days in membership (decrease)
</t>
    </r>
    <r>
      <rPr>
        <sz val="10"/>
        <color theme="1"/>
        <rFont val="Calibri"/>
        <family val="2"/>
        <scheme val="minor"/>
      </rPr>
      <t>Determined by the district. (Source: SIMS)</t>
    </r>
  </si>
  <si>
    <t>Priority Areas 1-4</t>
  </si>
  <si>
    <t>Distribution of teachers by performance level on district’s teacher evaluation system: Teachers in Proficient and Exemplary</t>
  </si>
  <si>
    <t>Notes</t>
  </si>
  <si>
    <t>__</t>
  </si>
  <si>
    <t>Actual number of days absent dependent on number of days student enrolled in school.</t>
  </si>
  <si>
    <t>Previous district data not available.</t>
  </si>
  <si>
    <t>2014 Actual</t>
  </si>
  <si>
    <t>In a chronically underperforming school, it may be appropriate to retain students who are not yet performing at grade level.</t>
  </si>
  <si>
    <t>Not applicable for elementary schools.</t>
  </si>
  <si>
    <t>Narrowing proficiency gaps (Science) - All students
All groups are expected to halve the distance between their level of performance in 2011 and proficiency by the year 2017. The 100-point Composite Performance Index (CPI) measures progress towards this goal of narrowing proficiency gaps. (Source: Pre-populated by ESE from accountability data. A minimum N of 20 for all students and 30 for subgroups are required for MAGs to be set.)</t>
  </si>
  <si>
    <t>Percentageage of students completing grade 8 portfolio requirement (MS)</t>
  </si>
  <si>
    <t>Percentageage of students demonstrating mastery of life and career skills through participation in school-sponsored extracurricular career readiness and volunteer activities (ALL)</t>
  </si>
  <si>
    <t>Percentageage of students demonstrating mastery of media, technology, and information skills (ALL)</t>
  </si>
  <si>
    <t>Percentage of students who participate in Parker's summer institute</t>
  </si>
  <si>
    <t>Percentage of third graders scoring Proficient or Advanced on the ELA MCAS</t>
  </si>
  <si>
    <t>Percentage of fifth graders scoring Proficient or Advanced on the math MCAS</t>
  </si>
  <si>
    <t>Percentage of core K-5 teachers who communicate at least once per month with at least one family member of each of their students</t>
  </si>
  <si>
    <t>Percentage of families responding to a survey who demonstrate an understanding of Parker Elementary School's vision for turnaround and take regular action to support their student(s)'s academic achievement</t>
  </si>
  <si>
    <t>Percentage of students who report feeling challenged and supported by adults on a student survey</t>
  </si>
  <si>
    <t>Percentage of core K-5 teachers who are observed effectively implementing an evidence-based practice discussed in professional development in their classroom instruction during a classroom observation, or who present other evidence of having used such practice(s) to their principal, within 2 weeks of every professional development session</t>
  </si>
  <si>
    <t>Percentage of core K-5 teachers who participate in at least one Saturday Academy Program</t>
  </si>
  <si>
    <t>Percentage of students in second grade who end the year at or above grade-level as measured by the end-of-year Galileo assessment</t>
  </si>
  <si>
    <t>2013 
Actual</t>
  </si>
  <si>
    <t>New measure; previous data not available</t>
  </si>
  <si>
    <t>Measurable annual goals template</t>
  </si>
  <si>
    <t>Appendix B: New Bedford - John Avery Parker (02010115)  Measurable Annual Goals</t>
  </si>
  <si>
    <t>Preliminary Level 5 turnaround plan, submitted March 7, 2014</t>
  </si>
  <si>
    <t>Notes:</t>
  </si>
  <si>
    <t>Set MAGs related to student attendance, dismissal, exclusion, and promotion rates in the aggregate. For student attendance and exclusion rates, 2013 is the baseline year for most schools. In the pre-populated cells, a dash (--) means that no data exist for a group for a specific indicator.
(SIMS = Student Information Management System; DPH = Department of Public Health; SSDR = School Safety and Discipline Report)</t>
  </si>
  <si>
    <t xml:space="preserve">Note that due to the compensatory nature of the state's accountability measures, a group does not necessarily have to meet its fixed CPI or growth targets to be considered "on target" for narrowing proficiency gaps, as long as all groups in the school make the continuous improvement needed to earn a cumulative Progress and Performance Index (PPI) score of 75 or higher by the 2016-17 school year.          
</t>
  </si>
  <si>
    <t>TBD</t>
  </si>
  <si>
    <r>
      <t xml:space="preserve">Reducing the percentage of students scoring at the Warning/Failing level on MCAS ELA tests - All students
</t>
    </r>
    <r>
      <rPr>
        <sz val="10"/>
        <rFont val="Calibri"/>
        <family val="2"/>
        <scheme val="minor"/>
      </rPr>
      <t>This group of measures will be included in the final turnaround plan.</t>
    </r>
  </si>
  <si>
    <r>
      <t xml:space="preserve">Reducing the percentage of students scoring at the Warning/Failing level on MCAS mathematics tests - All students
</t>
    </r>
    <r>
      <rPr>
        <sz val="10"/>
        <rFont val="Calibri"/>
        <family val="2"/>
        <scheme val="minor"/>
      </rPr>
      <t>This group of measures will be included in the final turnaround plan.</t>
    </r>
  </si>
  <si>
    <r>
      <t xml:space="preserve">Reducing the percentage of students scoring at the Warning/Failing level on MCAS science tests - All students
</t>
    </r>
    <r>
      <rPr>
        <sz val="10"/>
        <rFont val="Calibri"/>
        <family val="2"/>
        <scheme val="minor"/>
      </rPr>
      <t>This group of measures will be included in the final turnaround plan.</t>
    </r>
  </si>
  <si>
    <r>
      <t xml:space="preserve">Increasing the percentage of students scoring at the Advanced level on MCAS ELA tests - All students
</t>
    </r>
    <r>
      <rPr>
        <sz val="10"/>
        <rFont val="Calibri"/>
        <family val="2"/>
        <scheme val="minor"/>
      </rPr>
      <t>This group of measures will be included in the final turnaround plan.</t>
    </r>
  </si>
  <si>
    <r>
      <t xml:space="preserve">Increasing the percentage of students scoring at the Advanced level on MCAS mathematics tests - All students
</t>
    </r>
    <r>
      <rPr>
        <sz val="10"/>
        <rFont val="Calibri"/>
        <family val="2"/>
        <scheme val="minor"/>
      </rPr>
      <t>This group of measures will be included in the final turnaround plan.</t>
    </r>
  </si>
  <si>
    <r>
      <t xml:space="preserve">Increasing the percentage of students scoring at the Advanced level on MCAS science tests - All students
</t>
    </r>
    <r>
      <rPr>
        <sz val="10"/>
        <rFont val="Calibri"/>
        <family val="2"/>
        <scheme val="minor"/>
      </rPr>
      <t>This group of measures will be included in the final turnaround plan.</t>
    </r>
  </si>
</sst>
</file>

<file path=xl/styles.xml><?xml version="1.0" encoding="utf-8"?>
<styleSheet xmlns="http://schemas.openxmlformats.org/spreadsheetml/2006/main">
  <numFmts count="3">
    <numFmt numFmtId="43" formatCode="_(* #,##0.00_);_(* \(#,##0.00\);_(* &quot;-&quot;??_);_(@_)"/>
    <numFmt numFmtId="164" formatCode="0.0"/>
    <numFmt numFmtId="165" formatCode="0.0%"/>
  </numFmts>
  <fonts count="23">
    <font>
      <sz val="11"/>
      <color theme="1"/>
      <name val="Calibri"/>
      <family val="2"/>
      <scheme val="minor"/>
    </font>
    <font>
      <sz val="10"/>
      <name val="Arial"/>
      <family val="2"/>
    </font>
    <font>
      <u/>
      <sz val="10"/>
      <color indexed="12"/>
      <name val="Arial"/>
      <family val="2"/>
    </font>
    <font>
      <sz val="11"/>
      <color theme="1"/>
      <name val="Calibri"/>
      <family val="2"/>
      <scheme val="minor"/>
    </font>
    <font>
      <u/>
      <sz val="11"/>
      <color theme="10"/>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theme="1"/>
      <name val="Calibri"/>
      <family val="2"/>
      <scheme val="minor"/>
    </font>
    <font>
      <sz val="10"/>
      <name val="Calibri"/>
      <family val="2"/>
      <scheme val="minor"/>
    </font>
    <font>
      <sz val="10"/>
      <color theme="1"/>
      <name val="Calibri"/>
      <family val="2"/>
    </font>
    <font>
      <b/>
      <sz val="10"/>
      <name val="Calibri"/>
      <family val="2"/>
      <scheme val="minor"/>
    </font>
    <font>
      <u/>
      <sz val="10"/>
      <color theme="10"/>
      <name val="Calibri"/>
      <family val="2"/>
      <scheme val="minor"/>
    </font>
    <font>
      <b/>
      <sz val="16"/>
      <name val="Calibri"/>
      <family val="2"/>
      <scheme val="minor"/>
    </font>
    <font>
      <b/>
      <sz val="11"/>
      <name val="Calibri"/>
      <family val="2"/>
      <scheme val="minor"/>
    </font>
    <font>
      <b/>
      <u/>
      <sz val="10"/>
      <name val="Calibri"/>
      <family val="2"/>
      <scheme val="minor"/>
    </font>
    <font>
      <b/>
      <sz val="9"/>
      <name val="Calibri"/>
      <family val="2"/>
      <scheme val="minor"/>
    </font>
    <font>
      <u/>
      <sz val="10"/>
      <color rgb="FF0000FF"/>
      <name val="Calibri"/>
      <family val="2"/>
      <scheme val="minor"/>
    </font>
    <font>
      <sz val="10"/>
      <color theme="4" tint="0.59999389629810485"/>
      <name val="Calibri"/>
      <family val="2"/>
      <scheme val="minor"/>
    </font>
    <font>
      <sz val="11"/>
      <name val="Calibri"/>
      <family val="2"/>
      <scheme val="minor"/>
    </font>
    <font>
      <b/>
      <sz val="12"/>
      <name val="Calibri"/>
      <family val="2"/>
      <scheme val="minor"/>
    </font>
    <font>
      <sz val="12"/>
      <name val="Calibri"/>
      <family val="2"/>
      <scheme val="minor"/>
    </font>
    <font>
      <sz val="12"/>
      <color theme="1"/>
      <name val="Calibri"/>
      <family val="2"/>
      <scheme val="minor"/>
    </font>
  </fonts>
  <fills count="11">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rgb="FFFEFDE8"/>
        <bgColor indexed="64"/>
      </patternFill>
    </fill>
    <fill>
      <patternFill patternType="solid">
        <fgColor theme="0"/>
        <bgColor indexed="64"/>
      </patternFill>
    </fill>
  </fills>
  <borders count="63">
    <border>
      <left/>
      <right/>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top/>
      <bottom style="thin">
        <color indexed="64"/>
      </bottom>
      <diagonal/>
    </border>
    <border>
      <left style="thin">
        <color indexed="64"/>
      </left>
      <right style="hair">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style="hair">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right style="thin">
        <color indexed="64"/>
      </right>
      <top style="thin">
        <color indexed="64"/>
      </top>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bottom style="hair">
        <color indexed="64"/>
      </bottom>
      <diagonal/>
    </border>
    <border>
      <left style="thin">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bottom style="thin">
        <color indexed="64"/>
      </bottom>
      <diagonal/>
    </border>
  </borders>
  <cellStyleXfs count="21">
    <xf numFmtId="0" fontId="0" fillId="0" borderId="0"/>
    <xf numFmtId="0" fontId="4"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9" fontId="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3" fillId="0" borderId="0"/>
    <xf numFmtId="0" fontId="1" fillId="0" borderId="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420">
    <xf numFmtId="0" fontId="0" fillId="0" borderId="0" xfId="0"/>
    <xf numFmtId="0" fontId="6" fillId="0" borderId="0" xfId="0" applyFont="1"/>
    <xf numFmtId="0" fontId="8" fillId="0" borderId="0" xfId="0" applyFont="1"/>
    <xf numFmtId="0" fontId="6" fillId="0" borderId="0" xfId="0" applyFont="1" applyFill="1"/>
    <xf numFmtId="0" fontId="8" fillId="0" borderId="0" xfId="0" applyFont="1" applyFill="1"/>
    <xf numFmtId="0" fontId="6" fillId="0" borderId="0" xfId="0" applyFont="1" applyAlignment="1">
      <alignment horizontal="center"/>
    </xf>
    <xf numFmtId="0" fontId="6" fillId="0" borderId="14" xfId="0" applyFont="1" applyBorder="1" applyAlignment="1">
      <alignment vertical="top" wrapText="1"/>
    </xf>
    <xf numFmtId="0" fontId="6" fillId="0" borderId="1" xfId="0" applyFont="1" applyBorder="1" applyAlignment="1" applyProtection="1">
      <alignment horizontal="center" vertical="top" wrapText="1"/>
      <protection locked="0"/>
    </xf>
    <xf numFmtId="0" fontId="6" fillId="0" borderId="3" xfId="0" applyFont="1" applyBorder="1" applyAlignment="1" applyProtection="1">
      <alignment horizontal="center" vertical="top" wrapText="1"/>
      <protection locked="0"/>
    </xf>
    <xf numFmtId="0" fontId="6" fillId="0" borderId="5" xfId="0" applyFont="1" applyBorder="1" applyAlignment="1" applyProtection="1">
      <alignment horizontal="center" vertical="top" wrapText="1"/>
      <protection locked="0"/>
    </xf>
    <xf numFmtId="0" fontId="5" fillId="2" borderId="23" xfId="0" applyFont="1" applyFill="1" applyBorder="1" applyAlignment="1">
      <alignment horizontal="center" vertical="center" wrapText="1"/>
    </xf>
    <xf numFmtId="0" fontId="9" fillId="0" borderId="0" xfId="0" applyFont="1"/>
    <xf numFmtId="0" fontId="9" fillId="0" borderId="0" xfId="0" applyFont="1" applyAlignment="1">
      <alignment horizontal="center"/>
    </xf>
    <xf numFmtId="0" fontId="13" fillId="0" borderId="0" xfId="0" applyFont="1" applyAlignment="1">
      <alignment horizontal="left" vertical="top"/>
    </xf>
    <xf numFmtId="0" fontId="14" fillId="0" borderId="0" xfId="0" applyFont="1" applyAlignment="1">
      <alignment horizontal="center" vertical="top"/>
    </xf>
    <xf numFmtId="0" fontId="11" fillId="0" borderId="0" xfId="0" applyFont="1" applyAlignment="1">
      <alignment vertical="top"/>
    </xf>
    <xf numFmtId="0" fontId="6" fillId="0" borderId="0" xfId="0" applyFont="1"/>
    <xf numFmtId="0" fontId="8" fillId="0" borderId="0" xfId="0" applyFont="1"/>
    <xf numFmtId="0" fontId="7" fillId="0" borderId="40" xfId="0" applyFont="1" applyBorder="1" applyAlignment="1" applyProtection="1">
      <alignment horizontal="left" vertical="top" wrapText="1"/>
    </xf>
    <xf numFmtId="0" fontId="7" fillId="0" borderId="38" xfId="0" applyFont="1" applyBorder="1" applyAlignment="1" applyProtection="1">
      <alignment horizontal="left" vertical="top" wrapText="1"/>
    </xf>
    <xf numFmtId="0" fontId="12" fillId="0" borderId="41" xfId="1" applyFont="1" applyBorder="1" applyAlignment="1" applyProtection="1">
      <alignment vertical="top" wrapText="1"/>
    </xf>
    <xf numFmtId="0" fontId="12" fillId="0" borderId="41" xfId="1" applyFont="1" applyBorder="1" applyAlignment="1" applyProtection="1">
      <alignment vertical="center" wrapText="1"/>
    </xf>
    <xf numFmtId="0" fontId="12" fillId="0" borderId="45" xfId="1" applyFont="1" applyBorder="1" applyAlignment="1" applyProtection="1">
      <alignment vertical="center" wrapText="1"/>
    </xf>
    <xf numFmtId="0" fontId="12" fillId="0" borderId="41" xfId="1" applyFont="1" applyBorder="1" applyAlignment="1" applyProtection="1">
      <alignment horizontal="left" vertical="top" wrapText="1"/>
    </xf>
    <xf numFmtId="0" fontId="7" fillId="0" borderId="11" xfId="0" applyFont="1" applyBorder="1" applyAlignment="1" applyProtection="1">
      <alignment horizontal="left" vertical="top" wrapText="1"/>
    </xf>
    <xf numFmtId="0" fontId="12" fillId="0" borderId="27" xfId="1" applyFont="1" applyBorder="1" applyAlignment="1" applyProtection="1">
      <alignment vertical="top" wrapText="1"/>
    </xf>
    <xf numFmtId="0" fontId="7" fillId="0" borderId="36" xfId="0" applyFont="1" applyBorder="1" applyAlignment="1" applyProtection="1">
      <alignment horizontal="left" vertical="top" wrapText="1"/>
    </xf>
    <xf numFmtId="0" fontId="12" fillId="0" borderId="44" xfId="1" applyFont="1" applyBorder="1" applyAlignment="1" applyProtection="1">
      <alignment horizontal="left" vertical="top" wrapText="1"/>
    </xf>
    <xf numFmtId="0" fontId="12" fillId="0" borderId="41" xfId="1" applyFont="1" applyBorder="1" applyAlignment="1" applyProtection="1">
      <alignment horizontal="left" vertical="center"/>
    </xf>
    <xf numFmtId="0" fontId="7" fillId="0" borderId="54" xfId="0" applyFont="1" applyBorder="1" applyAlignment="1" applyProtection="1">
      <alignment horizontal="left" vertical="top" wrapText="1"/>
    </xf>
    <xf numFmtId="0" fontId="12" fillId="0" borderId="44" xfId="1" applyFont="1" applyBorder="1" applyAlignment="1" applyProtection="1">
      <alignment horizontal="left" vertical="center"/>
    </xf>
    <xf numFmtId="0" fontId="17" fillId="0" borderId="44" xfId="1" applyFont="1" applyBorder="1" applyAlignment="1" applyProtection="1">
      <alignment horizontal="left" vertical="center"/>
    </xf>
    <xf numFmtId="0" fontId="7" fillId="0" borderId="21" xfId="0" applyFont="1" applyBorder="1" applyAlignment="1" applyProtection="1">
      <alignment horizontal="left" vertical="top" wrapText="1"/>
    </xf>
    <xf numFmtId="0" fontId="7" fillId="0" borderId="7" xfId="0" applyFont="1" applyFill="1" applyBorder="1" applyAlignment="1" applyProtection="1">
      <alignment horizontal="left" vertical="top" wrapText="1"/>
    </xf>
    <xf numFmtId="0" fontId="7" fillId="0" borderId="50" xfId="0" applyFont="1" applyFill="1" applyBorder="1" applyAlignment="1" applyProtection="1">
      <alignment horizontal="left" vertical="top" wrapText="1"/>
    </xf>
    <xf numFmtId="0" fontId="6" fillId="0" borderId="51" xfId="0" applyFont="1" applyFill="1" applyBorder="1" applyAlignment="1" applyProtection="1">
      <alignment horizontal="left" vertical="top" wrapText="1"/>
      <protection locked="0"/>
    </xf>
    <xf numFmtId="0" fontId="6" fillId="0" borderId="49" xfId="0" applyFont="1" applyFill="1" applyBorder="1" applyAlignment="1" applyProtection="1">
      <alignment horizontal="left" vertical="top" wrapText="1"/>
      <protection locked="0"/>
    </xf>
    <xf numFmtId="0" fontId="6" fillId="0" borderId="50" xfId="0" applyFont="1" applyFill="1" applyBorder="1" applyAlignment="1" applyProtection="1">
      <alignment horizontal="left" vertical="top" wrapText="1"/>
      <protection locked="0"/>
    </xf>
    <xf numFmtId="0" fontId="7" fillId="0" borderId="38" xfId="0" applyFont="1" applyFill="1" applyBorder="1" applyAlignment="1" applyProtection="1">
      <alignment horizontal="left" vertical="top" wrapText="1"/>
    </xf>
    <xf numFmtId="0" fontId="7" fillId="0" borderId="27" xfId="0" applyFont="1" applyFill="1" applyBorder="1" applyAlignment="1" applyProtection="1">
      <alignment horizontal="left" vertical="top" wrapText="1"/>
    </xf>
    <xf numFmtId="0" fontId="12" fillId="0" borderId="41" xfId="1" applyFont="1" applyFill="1" applyBorder="1" applyAlignment="1" applyProtection="1">
      <alignment horizontal="left" vertical="top" wrapText="1"/>
    </xf>
    <xf numFmtId="0" fontId="6" fillId="2" borderId="11" xfId="0" applyFont="1" applyFill="1" applyBorder="1" applyAlignment="1" applyProtection="1">
      <alignment horizontal="center" vertical="top" wrapText="1"/>
      <protection locked="0"/>
    </xf>
    <xf numFmtId="0" fontId="6" fillId="2" borderId="12" xfId="0" applyFont="1" applyFill="1" applyBorder="1" applyAlignment="1" applyProtection="1">
      <alignment horizontal="center" vertical="top" wrapText="1"/>
      <protection locked="0"/>
    </xf>
    <xf numFmtId="0" fontId="6" fillId="2" borderId="1" xfId="0" applyFont="1" applyFill="1" applyBorder="1" applyAlignment="1" applyProtection="1">
      <alignment horizontal="center" vertical="top" wrapText="1"/>
      <protection locked="0"/>
    </xf>
    <xf numFmtId="0" fontId="6" fillId="2" borderId="3" xfId="0" applyFont="1" applyFill="1" applyBorder="1" applyAlignment="1" applyProtection="1">
      <alignment horizontal="center" vertical="top" wrapText="1"/>
      <protection locked="0"/>
    </xf>
    <xf numFmtId="0" fontId="6" fillId="2" borderId="13" xfId="0" applyFont="1" applyFill="1" applyBorder="1" applyAlignment="1" applyProtection="1">
      <alignment horizontal="center" vertical="top" wrapText="1"/>
      <protection locked="0"/>
    </xf>
    <xf numFmtId="0" fontId="6" fillId="2" borderId="5" xfId="0" applyFont="1" applyFill="1" applyBorder="1" applyAlignment="1" applyProtection="1">
      <alignment horizontal="center" vertical="top" wrapText="1"/>
      <protection locked="0"/>
    </xf>
    <xf numFmtId="0" fontId="6" fillId="0" borderId="40" xfId="0" applyFont="1" applyBorder="1" applyAlignment="1" applyProtection="1">
      <alignment horizontal="left" vertical="top" wrapText="1"/>
      <protection locked="0"/>
    </xf>
    <xf numFmtId="0" fontId="6" fillId="0" borderId="36" xfId="0" applyFont="1" applyBorder="1" applyAlignment="1" applyProtection="1">
      <alignment horizontal="left" vertical="top" wrapText="1"/>
      <protection locked="0"/>
    </xf>
    <xf numFmtId="0" fontId="6" fillId="0" borderId="37" xfId="0" applyFont="1" applyBorder="1" applyAlignment="1" applyProtection="1">
      <alignment horizontal="left" vertical="top" wrapText="1"/>
      <protection locked="0"/>
    </xf>
    <xf numFmtId="0" fontId="6" fillId="0" borderId="21" xfId="0" applyFont="1" applyBorder="1" applyAlignment="1" applyProtection="1">
      <alignment horizontal="left" vertical="top"/>
      <protection locked="0"/>
    </xf>
    <xf numFmtId="0" fontId="6" fillId="0" borderId="2" xfId="0" applyFont="1" applyBorder="1" applyAlignment="1" applyProtection="1">
      <alignment horizontal="center" vertical="top" wrapText="1"/>
      <protection locked="0"/>
    </xf>
    <xf numFmtId="0" fontId="6" fillId="0" borderId="4" xfId="0" applyFont="1" applyBorder="1" applyAlignment="1" applyProtection="1">
      <alignment horizontal="center" vertical="top" wrapText="1"/>
      <protection locked="0"/>
    </xf>
    <xf numFmtId="164" fontId="6" fillId="0" borderId="2" xfId="0" applyNumberFormat="1" applyFont="1" applyFill="1" applyBorder="1" applyAlignment="1" applyProtection="1">
      <alignment horizontal="center" vertical="top" wrapText="1"/>
    </xf>
    <xf numFmtId="0" fontId="6" fillId="0" borderId="6" xfId="0" applyFont="1" applyBorder="1" applyAlignment="1" applyProtection="1">
      <alignment horizontal="center" vertical="top" wrapText="1"/>
      <protection locked="0"/>
    </xf>
    <xf numFmtId="0" fontId="5" fillId="2" borderId="0" xfId="0" applyNumberFormat="1" applyFont="1" applyFill="1" applyAlignment="1">
      <alignment wrapText="1"/>
    </xf>
    <xf numFmtId="0" fontId="5" fillId="9" borderId="0" xfId="0" applyNumberFormat="1" applyFont="1" applyFill="1" applyAlignment="1">
      <alignment wrapText="1"/>
    </xf>
    <xf numFmtId="0" fontId="5" fillId="7" borderId="0" xfId="0" applyNumberFormat="1" applyFont="1" applyFill="1" applyAlignment="1">
      <alignment wrapText="1"/>
    </xf>
    <xf numFmtId="0" fontId="5" fillId="8" borderId="0" xfId="0" applyNumberFormat="1" applyFont="1" applyFill="1" applyAlignment="1">
      <alignment wrapText="1"/>
    </xf>
    <xf numFmtId="0" fontId="5" fillId="6" borderId="0" xfId="0" applyNumberFormat="1" applyFont="1" applyFill="1" applyAlignment="1">
      <alignment wrapText="1"/>
    </xf>
    <xf numFmtId="0" fontId="5" fillId="5" borderId="0" xfId="0" applyNumberFormat="1" applyFont="1" applyFill="1" applyAlignment="1">
      <alignment wrapText="1"/>
    </xf>
    <xf numFmtId="0" fontId="5" fillId="4" borderId="0" xfId="0" applyNumberFormat="1" applyFont="1" applyFill="1" applyAlignment="1">
      <alignment wrapText="1"/>
    </xf>
    <xf numFmtId="0" fontId="5" fillId="0" borderId="0" xfId="0" applyNumberFormat="1" applyFont="1" applyAlignment="1">
      <alignment wrapText="1"/>
    </xf>
    <xf numFmtId="0" fontId="0" fillId="0" borderId="0" xfId="0" applyNumberFormat="1"/>
    <xf numFmtId="0" fontId="0" fillId="0" borderId="0" xfId="0" applyNumberFormat="1" applyAlignment="1">
      <alignment horizontal="center"/>
    </xf>
    <xf numFmtId="164" fontId="6" fillId="2" borderId="12" xfId="4" applyNumberFormat="1" applyFont="1" applyFill="1" applyBorder="1" applyAlignment="1" applyProtection="1">
      <alignment horizontal="center" vertical="top" wrapText="1"/>
    </xf>
    <xf numFmtId="164" fontId="6" fillId="2" borderId="3" xfId="0" applyNumberFormat="1" applyFont="1" applyFill="1" applyBorder="1" applyAlignment="1" applyProtection="1">
      <alignment horizontal="center" vertical="top"/>
    </xf>
    <xf numFmtId="0" fontId="0" fillId="0" borderId="0" xfId="0" applyNumberFormat="1" applyFill="1"/>
    <xf numFmtId="0" fontId="15" fillId="0" borderId="0" xfId="1" applyFont="1" applyAlignment="1" applyProtection="1">
      <alignment horizontal="right"/>
      <protection locked="0"/>
    </xf>
    <xf numFmtId="164" fontId="6" fillId="2" borderId="1" xfId="0" applyNumberFormat="1" applyFont="1" applyFill="1" applyBorder="1" applyAlignment="1" applyProtection="1">
      <alignment horizontal="center" vertical="top"/>
    </xf>
    <xf numFmtId="164" fontId="6" fillId="2" borderId="11" xfId="4" applyNumberFormat="1" applyFont="1" applyFill="1" applyBorder="1" applyAlignment="1" applyProtection="1">
      <alignment horizontal="center" vertical="top" wrapText="1"/>
    </xf>
    <xf numFmtId="164" fontId="6" fillId="0" borderId="19" xfId="0" applyNumberFormat="1" applyFont="1" applyFill="1" applyBorder="1" applyAlignment="1" applyProtection="1">
      <alignment horizontal="center" vertical="top"/>
    </xf>
    <xf numFmtId="164" fontId="6" fillId="0" borderId="31" xfId="0" applyNumberFormat="1" applyFont="1" applyFill="1" applyBorder="1" applyAlignment="1" applyProtection="1">
      <alignment horizontal="center" vertical="top"/>
    </xf>
    <xf numFmtId="164" fontId="6" fillId="0" borderId="2" xfId="0" applyNumberFormat="1" applyFont="1" applyFill="1" applyBorder="1" applyAlignment="1" applyProtection="1">
      <alignment horizontal="center" vertical="top"/>
    </xf>
    <xf numFmtId="164" fontId="6" fillId="0" borderId="1" xfId="0" applyNumberFormat="1" applyFont="1" applyFill="1" applyBorder="1" applyAlignment="1" applyProtection="1">
      <alignment horizontal="center" vertical="top"/>
    </xf>
    <xf numFmtId="164" fontId="6" fillId="0" borderId="18" xfId="0" applyNumberFormat="1" applyFont="1" applyFill="1" applyBorder="1" applyAlignment="1" applyProtection="1">
      <alignment horizontal="center" vertical="top"/>
    </xf>
    <xf numFmtId="164" fontId="6" fillId="0" borderId="20" xfId="0" applyNumberFormat="1" applyFont="1" applyFill="1" applyBorder="1" applyAlignment="1" applyProtection="1">
      <alignment horizontal="center" vertical="top"/>
    </xf>
    <xf numFmtId="164" fontId="6" fillId="0" borderId="18" xfId="0" applyNumberFormat="1" applyFont="1" applyFill="1" applyBorder="1" applyAlignment="1" applyProtection="1">
      <alignment horizontal="center" vertical="top" wrapText="1"/>
    </xf>
    <xf numFmtId="164" fontId="6" fillId="0" borderId="20"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center" vertical="top" wrapText="1"/>
    </xf>
    <xf numFmtId="0" fontId="6" fillId="10" borderId="10" xfId="0" applyFont="1" applyFill="1" applyBorder="1" applyAlignment="1" applyProtection="1">
      <alignment horizontal="center" vertical="top" wrapText="1"/>
      <protection locked="0"/>
    </xf>
    <xf numFmtId="0" fontId="6" fillId="10" borderId="57" xfId="0" applyFont="1" applyFill="1" applyBorder="1" applyAlignment="1" applyProtection="1">
      <alignment horizontal="center" vertical="top" wrapText="1"/>
      <protection locked="0"/>
    </xf>
    <xf numFmtId="164" fontId="6" fillId="10" borderId="11" xfId="0" applyNumberFormat="1" applyFont="1" applyFill="1" applyBorder="1" applyAlignment="1" applyProtection="1">
      <alignment horizontal="center" vertical="top" wrapText="1"/>
    </xf>
    <xf numFmtId="164" fontId="6" fillId="10" borderId="1" xfId="0" applyNumberFormat="1" applyFont="1" applyFill="1" applyBorder="1" applyAlignment="1" applyProtection="1">
      <alignment horizontal="center" vertical="top" wrapText="1"/>
    </xf>
    <xf numFmtId="164" fontId="6" fillId="2" borderId="53" xfId="4" applyNumberFormat="1" applyFont="1" applyFill="1" applyBorder="1" applyAlignment="1" applyProtection="1">
      <alignment horizontal="center" vertical="top" wrapText="1"/>
    </xf>
    <xf numFmtId="164" fontId="6" fillId="2" borderId="20" xfId="0" applyNumberFormat="1" applyFont="1" applyFill="1" applyBorder="1" applyAlignment="1" applyProtection="1">
      <alignment horizontal="center" vertical="top"/>
    </xf>
    <xf numFmtId="164" fontId="6" fillId="10" borderId="11" xfId="4" applyNumberFormat="1" applyFont="1" applyFill="1" applyBorder="1" applyAlignment="1" applyProtection="1">
      <alignment horizontal="center" vertical="top" wrapText="1"/>
    </xf>
    <xf numFmtId="164" fontId="6" fillId="10" borderId="1" xfId="0" applyNumberFormat="1" applyFont="1" applyFill="1" applyBorder="1" applyAlignment="1" applyProtection="1">
      <alignment horizontal="center" vertical="top"/>
    </xf>
    <xf numFmtId="164" fontId="6" fillId="10" borderId="53" xfId="4" applyNumberFormat="1" applyFont="1" applyFill="1" applyBorder="1" applyAlignment="1" applyProtection="1">
      <alignment horizontal="center" vertical="top" wrapText="1"/>
    </xf>
    <xf numFmtId="164" fontId="6" fillId="10" borderId="20" xfId="0" applyNumberFormat="1" applyFont="1" applyFill="1" applyBorder="1" applyAlignment="1" applyProtection="1">
      <alignment horizontal="center" vertical="top"/>
    </xf>
    <xf numFmtId="164" fontId="6" fillId="10" borderId="54" xfId="4" applyNumberFormat="1" applyFont="1" applyFill="1" applyBorder="1" applyAlignment="1" applyProtection="1">
      <alignment horizontal="center" vertical="top" wrapText="1"/>
    </xf>
    <xf numFmtId="164" fontId="6" fillId="10" borderId="18" xfId="0" applyNumberFormat="1" applyFont="1" applyFill="1" applyBorder="1" applyAlignment="1" applyProtection="1">
      <alignment horizontal="center" vertical="top"/>
    </xf>
    <xf numFmtId="164" fontId="6" fillId="10" borderId="53" xfId="0" applyNumberFormat="1" applyFont="1" applyFill="1" applyBorder="1" applyAlignment="1" applyProtection="1">
      <alignment horizontal="center" vertical="top" wrapText="1"/>
    </xf>
    <xf numFmtId="164" fontId="6" fillId="10" borderId="20" xfId="0" applyNumberFormat="1" applyFont="1" applyFill="1" applyBorder="1" applyAlignment="1" applyProtection="1">
      <alignment horizontal="center" vertical="top" wrapText="1"/>
    </xf>
    <xf numFmtId="164" fontId="6" fillId="0" borderId="31" xfId="0" applyNumberFormat="1" applyFont="1" applyFill="1" applyBorder="1" applyAlignment="1" applyProtection="1">
      <alignment horizontal="center" vertical="top" wrapText="1"/>
    </xf>
    <xf numFmtId="164" fontId="6" fillId="10" borderId="54" xfId="0" applyNumberFormat="1" applyFont="1" applyFill="1" applyBorder="1" applyAlignment="1" applyProtection="1">
      <alignment horizontal="center" vertical="top" wrapText="1"/>
    </xf>
    <xf numFmtId="164" fontId="6" fillId="10" borderId="18" xfId="0" applyNumberFormat="1" applyFont="1" applyFill="1" applyBorder="1" applyAlignment="1" applyProtection="1">
      <alignment horizontal="center" vertical="top" wrapText="1"/>
    </xf>
    <xf numFmtId="0" fontId="7" fillId="10" borderId="7" xfId="0" applyFont="1" applyFill="1" applyBorder="1" applyAlignment="1">
      <alignment horizontal="left" vertical="top" wrapText="1"/>
    </xf>
    <xf numFmtId="0" fontId="12" fillId="10" borderId="30" xfId="1" applyFont="1" applyFill="1" applyBorder="1" applyAlignment="1" applyProtection="1">
      <alignment vertical="center" wrapText="1"/>
      <protection locked="0"/>
    </xf>
    <xf numFmtId="0" fontId="7" fillId="10" borderId="49" xfId="0" applyFont="1" applyFill="1" applyBorder="1" applyAlignment="1">
      <alignment horizontal="left" vertical="top" wrapText="1"/>
    </xf>
    <xf numFmtId="164" fontId="6" fillId="10" borderId="2" xfId="0" applyNumberFormat="1" applyFont="1" applyFill="1" applyBorder="1" applyAlignment="1" applyProtection="1">
      <alignment horizontal="center" vertical="top" wrapText="1"/>
    </xf>
    <xf numFmtId="164" fontId="6" fillId="10" borderId="2" xfId="0" applyNumberFormat="1" applyFont="1" applyFill="1" applyBorder="1" applyAlignment="1" applyProtection="1">
      <alignment horizontal="center" vertical="top"/>
    </xf>
    <xf numFmtId="0" fontId="7" fillId="10" borderId="52" xfId="0" applyFont="1" applyFill="1" applyBorder="1" applyAlignment="1">
      <alignment horizontal="left" vertical="top" wrapText="1"/>
    </xf>
    <xf numFmtId="164" fontId="10" fillId="10" borderId="1" xfId="0" applyNumberFormat="1" applyFont="1" applyFill="1" applyBorder="1" applyAlignment="1" applyProtection="1">
      <alignment horizontal="center" vertical="top" wrapText="1"/>
    </xf>
    <xf numFmtId="164" fontId="10" fillId="10" borderId="2" xfId="0" applyNumberFormat="1" applyFont="1" applyFill="1" applyBorder="1" applyAlignment="1" applyProtection="1">
      <alignment horizontal="center" vertical="top" wrapText="1"/>
    </xf>
    <xf numFmtId="164" fontId="6" fillId="10" borderId="12" xfId="0" applyNumberFormat="1" applyFont="1" applyFill="1" applyBorder="1" applyAlignment="1" applyProtection="1">
      <alignment horizontal="center" vertical="top" wrapText="1"/>
    </xf>
    <xf numFmtId="164" fontId="10" fillId="10" borderId="3" xfId="0" applyNumberFormat="1" applyFont="1" applyFill="1" applyBorder="1" applyAlignment="1" applyProtection="1">
      <alignment horizontal="center" vertical="top" wrapText="1"/>
    </xf>
    <xf numFmtId="164" fontId="6" fillId="10" borderId="3" xfId="0" applyNumberFormat="1" applyFont="1" applyFill="1" applyBorder="1" applyAlignment="1" applyProtection="1">
      <alignment horizontal="center" vertical="top" wrapText="1"/>
    </xf>
    <xf numFmtId="164" fontId="10" fillId="10" borderId="4" xfId="0" applyNumberFormat="1" applyFont="1" applyFill="1" applyBorder="1" applyAlignment="1" applyProtection="1">
      <alignment horizontal="center" vertical="top" wrapText="1"/>
    </xf>
    <xf numFmtId="0" fontId="6" fillId="10" borderId="58" xfId="0" applyFont="1" applyFill="1" applyBorder="1" applyAlignment="1" applyProtection="1">
      <alignment horizontal="center" vertical="top" wrapText="1"/>
      <protection locked="0"/>
    </xf>
    <xf numFmtId="0" fontId="7" fillId="10" borderId="50" xfId="0" applyFont="1" applyFill="1" applyBorder="1" applyAlignment="1">
      <alignment horizontal="left" vertical="top" wrapText="1"/>
    </xf>
    <xf numFmtId="164" fontId="6" fillId="10" borderId="3" xfId="0" applyNumberFormat="1" applyFont="1" applyFill="1" applyBorder="1" applyAlignment="1" applyProtection="1">
      <alignment horizontal="center" vertical="top"/>
    </xf>
    <xf numFmtId="164" fontId="6" fillId="10" borderId="4" xfId="0" applyNumberFormat="1" applyFont="1" applyFill="1" applyBorder="1" applyAlignment="1" applyProtection="1">
      <alignment horizontal="center" vertical="top"/>
    </xf>
    <xf numFmtId="0" fontId="7" fillId="10" borderId="23" xfId="0" applyFont="1" applyFill="1" applyBorder="1" applyAlignment="1" applyProtection="1">
      <alignment vertical="top" wrapText="1"/>
    </xf>
    <xf numFmtId="165" fontId="6" fillId="0" borderId="20" xfId="4" applyNumberFormat="1" applyFont="1" applyFill="1" applyBorder="1" applyAlignment="1" applyProtection="1">
      <alignment horizontal="center" vertical="top" wrapText="1"/>
    </xf>
    <xf numFmtId="165" fontId="6" fillId="0" borderId="20" xfId="4" applyNumberFormat="1" applyFont="1" applyFill="1" applyBorder="1" applyAlignment="1" applyProtection="1">
      <alignment horizontal="center" vertical="top"/>
    </xf>
    <xf numFmtId="165" fontId="6" fillId="0" borderId="31" xfId="4" applyNumberFormat="1" applyFont="1" applyFill="1" applyBorder="1" applyAlignment="1" applyProtection="1">
      <alignment horizontal="center" vertical="top"/>
    </xf>
    <xf numFmtId="164" fontId="6" fillId="0" borderId="57" xfId="0" applyNumberFormat="1" applyFont="1" applyFill="1" applyBorder="1" applyAlignment="1" applyProtection="1">
      <alignment horizontal="center" vertical="top" wrapText="1"/>
    </xf>
    <xf numFmtId="164" fontId="6" fillId="0" borderId="57" xfId="0" applyNumberFormat="1" applyFont="1" applyFill="1" applyBorder="1" applyAlignment="1" applyProtection="1">
      <alignment horizontal="center" vertical="top"/>
    </xf>
    <xf numFmtId="164" fontId="6" fillId="0" borderId="58" xfId="0" applyNumberFormat="1" applyFont="1" applyFill="1" applyBorder="1" applyAlignment="1" applyProtection="1">
      <alignment horizontal="center" vertical="top"/>
    </xf>
    <xf numFmtId="0" fontId="0" fillId="3" borderId="7" xfId="0" applyFill="1" applyBorder="1"/>
    <xf numFmtId="0" fontId="0" fillId="3" borderId="27" xfId="0" applyFill="1" applyBorder="1"/>
    <xf numFmtId="0" fontId="0" fillId="3" borderId="28" xfId="0" applyFill="1" applyBorder="1"/>
    <xf numFmtId="0" fontId="0" fillId="3" borderId="14" xfId="0" applyFill="1" applyBorder="1"/>
    <xf numFmtId="0" fontId="6" fillId="3" borderId="42" xfId="0" applyFont="1" applyFill="1" applyBorder="1"/>
    <xf numFmtId="0" fontId="6" fillId="3" borderId="46" xfId="0" applyFont="1" applyFill="1" applyBorder="1"/>
    <xf numFmtId="0" fontId="6" fillId="3" borderId="48" xfId="0" applyFont="1" applyFill="1" applyBorder="1"/>
    <xf numFmtId="0" fontId="18" fillId="3" borderId="46" xfId="0" applyFont="1" applyFill="1" applyBorder="1" applyAlignment="1">
      <alignment wrapText="1"/>
    </xf>
    <xf numFmtId="0" fontId="5" fillId="3" borderId="0" xfId="0" applyFont="1" applyFill="1" applyBorder="1" applyAlignment="1">
      <alignment horizontal="center"/>
    </xf>
    <xf numFmtId="164" fontId="6" fillId="0" borderId="6" xfId="0" applyNumberFormat="1" applyFont="1" applyFill="1" applyBorder="1" applyAlignment="1" applyProtection="1">
      <alignment horizontal="center" vertical="top"/>
    </xf>
    <xf numFmtId="164" fontId="6" fillId="0" borderId="4" xfId="0" applyNumberFormat="1" applyFont="1" applyFill="1" applyBorder="1" applyAlignment="1" applyProtection="1">
      <alignment horizontal="center" vertical="top"/>
    </xf>
    <xf numFmtId="164" fontId="6" fillId="0" borderId="5" xfId="0" applyNumberFormat="1" applyFont="1" applyFill="1" applyBorder="1" applyAlignment="1" applyProtection="1">
      <alignment horizontal="center" vertical="top"/>
    </xf>
    <xf numFmtId="164" fontId="6" fillId="0" borderId="3" xfId="0" applyNumberFormat="1" applyFont="1" applyFill="1" applyBorder="1" applyAlignment="1" applyProtection="1">
      <alignment horizontal="center" vertical="top"/>
    </xf>
    <xf numFmtId="164" fontId="6" fillId="0" borderId="26" xfId="0" applyNumberFormat="1" applyFont="1" applyFill="1" applyBorder="1" applyAlignment="1" applyProtection="1">
      <alignment horizontal="center" vertical="top" wrapText="1"/>
    </xf>
    <xf numFmtId="164" fontId="6" fillId="0" borderId="39" xfId="0" applyNumberFormat="1" applyFont="1" applyFill="1" applyBorder="1" applyAlignment="1" applyProtection="1">
      <alignment horizontal="center" vertical="top" wrapText="1"/>
    </xf>
    <xf numFmtId="164" fontId="6" fillId="10" borderId="13" xfId="0" applyNumberFormat="1" applyFont="1" applyFill="1" applyBorder="1" applyAlignment="1" applyProtection="1">
      <alignment horizontal="center" vertical="top" wrapText="1"/>
    </xf>
    <xf numFmtId="164" fontId="6" fillId="10" borderId="1" xfId="0" applyNumberFormat="1" applyFont="1" applyFill="1" applyBorder="1" applyAlignment="1" applyProtection="1">
      <alignment horizontal="center" vertical="top" wrapText="1"/>
    </xf>
    <xf numFmtId="164" fontId="6" fillId="10" borderId="1" xfId="0" applyNumberFormat="1" applyFont="1" applyFill="1" applyBorder="1" applyAlignment="1" applyProtection="1">
      <alignment horizontal="center" vertical="top"/>
    </xf>
    <xf numFmtId="164" fontId="6" fillId="10" borderId="11" xfId="0" applyNumberFormat="1" applyFont="1" applyFill="1" applyBorder="1" applyAlignment="1" applyProtection="1">
      <alignment horizontal="center" vertical="top" wrapText="1"/>
    </xf>
    <xf numFmtId="0" fontId="7" fillId="3" borderId="24" xfId="0" applyFont="1" applyFill="1" applyBorder="1" applyAlignment="1" applyProtection="1">
      <alignment horizontal="left" vertical="center" wrapText="1"/>
    </xf>
    <xf numFmtId="0" fontId="7" fillId="3" borderId="25" xfId="0" applyFont="1" applyFill="1" applyBorder="1" applyAlignment="1" applyProtection="1">
      <alignment horizontal="left" vertical="center" wrapText="1"/>
    </xf>
    <xf numFmtId="0" fontId="7" fillId="3" borderId="23" xfId="0" applyFont="1" applyFill="1" applyBorder="1" applyAlignment="1" applyProtection="1">
      <alignment horizontal="left" vertical="center" wrapText="1"/>
    </xf>
    <xf numFmtId="0" fontId="14" fillId="0" borderId="0" xfId="0" applyFont="1"/>
    <xf numFmtId="0" fontId="19" fillId="0" borderId="0" xfId="0" applyFont="1"/>
    <xf numFmtId="0" fontId="11" fillId="0" borderId="7" xfId="0" applyFont="1" applyFill="1" applyBorder="1" applyAlignment="1">
      <alignment horizontal="left" vertical="top" wrapText="1"/>
    </xf>
    <xf numFmtId="0" fontId="14" fillId="0" borderId="0" xfId="0" applyFont="1" applyAlignment="1">
      <alignment horizontal="right"/>
    </xf>
    <xf numFmtId="0" fontId="11" fillId="0" borderId="0" xfId="0" applyFont="1" applyAlignment="1">
      <alignment vertical="top"/>
    </xf>
    <xf numFmtId="0" fontId="0" fillId="0" borderId="0" xfId="0" applyNumberFormat="1" applyFill="1"/>
    <xf numFmtId="0" fontId="20" fillId="0" borderId="0" xfId="0" applyFont="1" applyProtection="1"/>
    <xf numFmtId="0" fontId="21" fillId="0" borderId="0" xfId="0" applyFont="1" applyProtection="1"/>
    <xf numFmtId="0" fontId="20" fillId="0" borderId="0" xfId="0" applyFont="1" applyAlignment="1" applyProtection="1">
      <alignment horizontal="right"/>
    </xf>
    <xf numFmtId="0" fontId="22" fillId="0" borderId="0" xfId="0" applyFont="1" applyProtection="1"/>
    <xf numFmtId="0" fontId="9" fillId="0" borderId="0" xfId="0" applyFont="1" applyProtection="1"/>
    <xf numFmtId="0" fontId="14" fillId="0" borderId="0" xfId="0" applyFont="1" applyAlignment="1" applyProtection="1">
      <alignment vertical="top"/>
    </xf>
    <xf numFmtId="0" fontId="15" fillId="0" borderId="0" xfId="1" applyFont="1" applyAlignment="1" applyProtection="1">
      <alignment horizontal="right"/>
    </xf>
    <xf numFmtId="0" fontId="6" fillId="0" borderId="0" xfId="0" applyFont="1" applyProtection="1"/>
    <xf numFmtId="0" fontId="11" fillId="0" borderId="0" xfId="0" applyFont="1" applyAlignment="1" applyProtection="1">
      <alignment horizontal="left" vertical="top"/>
    </xf>
    <xf numFmtId="0" fontId="11" fillId="0" borderId="0" xfId="0" applyFont="1" applyAlignment="1" applyProtection="1">
      <alignment vertical="top"/>
    </xf>
    <xf numFmtId="0" fontId="6" fillId="0" borderId="14" xfId="0" applyFont="1" applyBorder="1" applyAlignment="1" applyProtection="1">
      <alignment vertical="top" wrapText="1"/>
    </xf>
    <xf numFmtId="0" fontId="8" fillId="0" borderId="0" xfId="0" applyFont="1" applyProtection="1"/>
    <xf numFmtId="0" fontId="5" fillId="2" borderId="7" xfId="0" applyFont="1" applyFill="1" applyBorder="1" applyAlignment="1" applyProtection="1">
      <alignment horizontal="center" vertical="center" wrapText="1"/>
    </xf>
    <xf numFmtId="0" fontId="7" fillId="0" borderId="7" xfId="0" applyFont="1" applyBorder="1" applyAlignment="1" applyProtection="1">
      <alignment vertical="top" wrapText="1"/>
    </xf>
    <xf numFmtId="165" fontId="6" fillId="0" borderId="5" xfId="0" applyNumberFormat="1" applyFont="1" applyBorder="1" applyAlignment="1" applyProtection="1">
      <alignment horizontal="center" vertical="center" wrapText="1"/>
    </xf>
    <xf numFmtId="0" fontId="12" fillId="0" borderId="28" xfId="1" applyFont="1" applyBorder="1" applyAlignment="1" applyProtection="1">
      <alignment vertical="top" wrapText="1"/>
    </xf>
    <xf numFmtId="165" fontId="6" fillId="0" borderId="3" xfId="0" applyNumberFormat="1" applyFont="1" applyBorder="1" applyAlignment="1" applyProtection="1">
      <alignment horizontal="center" vertical="center" wrapText="1"/>
    </xf>
    <xf numFmtId="0" fontId="7" fillId="0" borderId="23" xfId="0" applyFont="1" applyBorder="1" applyAlignment="1" applyProtection="1">
      <alignment vertical="top" wrapText="1"/>
    </xf>
    <xf numFmtId="165" fontId="6" fillId="10" borderId="10" xfId="0" applyNumberFormat="1" applyFont="1" applyFill="1" applyBorder="1" applyAlignment="1" applyProtection="1">
      <alignment horizontal="center" vertical="center" wrapText="1"/>
    </xf>
    <xf numFmtId="165" fontId="6" fillId="10" borderId="57" xfId="0" applyNumberFormat="1" applyFont="1" applyFill="1" applyBorder="1" applyAlignment="1" applyProtection="1">
      <alignment horizontal="center" vertical="center" wrapText="1"/>
    </xf>
    <xf numFmtId="165" fontId="6" fillId="0" borderId="57" xfId="0" applyNumberFormat="1" applyFont="1" applyBorder="1" applyAlignment="1" applyProtection="1">
      <alignment horizontal="center" vertical="center" wrapText="1"/>
    </xf>
    <xf numFmtId="165" fontId="6" fillId="0" borderId="58" xfId="0" applyNumberFormat="1" applyFont="1" applyBorder="1" applyAlignment="1" applyProtection="1">
      <alignment horizontal="center" vertical="center" wrapText="1"/>
    </xf>
    <xf numFmtId="0" fontId="0" fillId="0" borderId="60" xfId="0" applyBorder="1" applyAlignment="1" applyProtection="1">
      <alignment horizontal="left" vertical="top" wrapText="1"/>
    </xf>
    <xf numFmtId="0" fontId="6" fillId="10" borderId="10" xfId="0" applyFont="1" applyFill="1" applyBorder="1" applyAlignment="1" applyProtection="1">
      <alignment horizontal="center" vertical="top" wrapText="1"/>
    </xf>
    <xf numFmtId="0" fontId="6" fillId="10" borderId="57" xfId="0" applyFont="1" applyFill="1" applyBorder="1" applyAlignment="1" applyProtection="1">
      <alignment horizontal="center" vertical="top" wrapText="1"/>
    </xf>
    <xf numFmtId="0" fontId="6" fillId="0" borderId="57" xfId="0" applyFont="1" applyBorder="1" applyAlignment="1" applyProtection="1">
      <alignment horizontal="center" vertical="top" wrapText="1"/>
    </xf>
    <xf numFmtId="0" fontId="6" fillId="0" borderId="58" xfId="0" applyFont="1" applyBorder="1" applyAlignment="1" applyProtection="1">
      <alignment horizontal="center" vertical="top" wrapText="1"/>
    </xf>
    <xf numFmtId="0" fontId="0" fillId="0" borderId="60" xfId="0" applyBorder="1" applyAlignment="1" applyProtection="1">
      <alignment horizontal="left" vertical="top"/>
    </xf>
    <xf numFmtId="0" fontId="6" fillId="0" borderId="7" xfId="0" applyFont="1" applyBorder="1" applyAlignment="1" applyProtection="1">
      <alignment vertical="top" wrapText="1"/>
    </xf>
    <xf numFmtId="165" fontId="6" fillId="0" borderId="5" xfId="0" applyNumberFormat="1" applyFont="1" applyBorder="1" applyAlignment="1" applyProtection="1">
      <alignment horizontal="center" vertical="top" wrapText="1"/>
    </xf>
    <xf numFmtId="0" fontId="12" fillId="0" borderId="28" xfId="1" applyFont="1" applyBorder="1" applyAlignment="1" applyProtection="1">
      <alignment vertical="center" wrapText="1"/>
    </xf>
    <xf numFmtId="165" fontId="6" fillId="0" borderId="3" xfId="0" applyNumberFormat="1" applyFont="1" applyBorder="1" applyAlignment="1" applyProtection="1">
      <alignment horizontal="center" vertical="top" wrapText="1"/>
    </xf>
    <xf numFmtId="165" fontId="6" fillId="10" borderId="10" xfId="0" applyNumberFormat="1" applyFont="1" applyFill="1" applyBorder="1" applyAlignment="1" applyProtection="1">
      <alignment horizontal="center" vertical="top" wrapText="1"/>
    </xf>
    <xf numFmtId="165" fontId="6" fillId="10" borderId="57" xfId="0" applyNumberFormat="1" applyFont="1" applyFill="1" applyBorder="1" applyAlignment="1" applyProtection="1">
      <alignment horizontal="center" vertical="top" wrapText="1"/>
    </xf>
    <xf numFmtId="165" fontId="6" fillId="0" borderId="57" xfId="0" applyNumberFormat="1" applyFont="1" applyBorder="1" applyAlignment="1" applyProtection="1">
      <alignment horizontal="center" vertical="top" wrapText="1"/>
    </xf>
    <xf numFmtId="165" fontId="6" fillId="0" borderId="58" xfId="0" applyNumberFormat="1" applyFont="1" applyBorder="1" applyAlignment="1" applyProtection="1">
      <alignment horizontal="center" vertical="top" wrapText="1"/>
    </xf>
    <xf numFmtId="0" fontId="6" fillId="0" borderId="60" xfId="0" applyFont="1" applyBorder="1" applyAlignment="1" applyProtection="1">
      <alignment vertical="top"/>
    </xf>
    <xf numFmtId="0" fontId="6" fillId="0" borderId="26"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0" fontId="7" fillId="0" borderId="60" xfId="0" applyFont="1" applyFill="1" applyBorder="1" applyAlignment="1" applyProtection="1">
      <alignment vertical="top" wrapText="1"/>
    </xf>
    <xf numFmtId="165" fontId="6" fillId="0" borderId="5" xfId="0" applyNumberFormat="1" applyFont="1" applyFill="1" applyBorder="1" applyAlignment="1" applyProtection="1">
      <alignment horizontal="center" vertical="center" wrapText="1"/>
    </xf>
    <xf numFmtId="0" fontId="12" fillId="0" borderId="30" xfId="1" applyFont="1" applyBorder="1" applyAlignment="1" applyProtection="1">
      <alignment vertical="center" wrapText="1"/>
    </xf>
    <xf numFmtId="165" fontId="6" fillId="0" borderId="18" xfId="0" applyNumberFormat="1" applyFont="1" applyFill="1" applyBorder="1" applyAlignment="1" applyProtection="1">
      <alignment horizontal="center" vertical="center" wrapText="1"/>
    </xf>
    <xf numFmtId="0" fontId="7" fillId="0" borderId="37" xfId="0" applyFont="1" applyFill="1" applyBorder="1" applyAlignment="1" applyProtection="1">
      <alignment vertical="top" wrapText="1"/>
    </xf>
    <xf numFmtId="0" fontId="6" fillId="0" borderId="0" xfId="0" applyFont="1" applyFill="1" applyProtection="1"/>
    <xf numFmtId="0" fontId="7" fillId="0" borderId="49" xfId="0" applyFont="1" applyFill="1" applyBorder="1" applyAlignment="1" applyProtection="1">
      <alignment vertical="top" wrapText="1"/>
    </xf>
    <xf numFmtId="0" fontId="6" fillId="0" borderId="44" xfId="0" applyFont="1" applyFill="1" applyBorder="1" applyAlignment="1" applyProtection="1">
      <alignment vertical="top" wrapText="1"/>
    </xf>
    <xf numFmtId="0" fontId="6" fillId="0" borderId="57" xfId="0" applyFont="1" applyFill="1" applyBorder="1" applyAlignment="1" applyProtection="1">
      <alignment horizontal="center" vertical="top" wrapText="1"/>
    </xf>
    <xf numFmtId="0" fontId="6" fillId="0" borderId="58" xfId="0" applyFont="1" applyFill="1" applyBorder="1" applyAlignment="1" applyProtection="1">
      <alignment horizontal="center" vertical="top" wrapText="1"/>
    </xf>
    <xf numFmtId="0" fontId="6" fillId="0" borderId="60" xfId="0" applyFont="1" applyFill="1" applyBorder="1" applyAlignment="1" applyProtection="1">
      <alignment vertical="top" wrapText="1"/>
    </xf>
    <xf numFmtId="0" fontId="6" fillId="0" borderId="60" xfId="0" applyFont="1" applyFill="1" applyBorder="1" applyAlignment="1" applyProtection="1">
      <alignment horizontal="left" vertical="top"/>
    </xf>
    <xf numFmtId="0" fontId="7" fillId="0" borderId="52" xfId="0" applyFont="1" applyFill="1" applyBorder="1" applyAlignment="1" applyProtection="1">
      <alignment vertical="top" wrapText="1"/>
    </xf>
    <xf numFmtId="0" fontId="7" fillId="0" borderId="21" xfId="0" applyFont="1" applyFill="1" applyBorder="1" applyAlignment="1" applyProtection="1">
      <alignment vertical="top" wrapText="1"/>
    </xf>
    <xf numFmtId="0" fontId="7" fillId="0" borderId="30" xfId="0" applyFont="1" applyFill="1" applyBorder="1" applyAlignment="1" applyProtection="1">
      <alignment vertical="top" wrapText="1"/>
    </xf>
    <xf numFmtId="0" fontId="7" fillId="0" borderId="50" xfId="0" applyFont="1" applyFill="1" applyBorder="1" applyAlignment="1" applyProtection="1">
      <alignment vertical="top" wrapText="1"/>
    </xf>
    <xf numFmtId="0" fontId="6" fillId="0" borderId="51" xfId="0" applyFont="1" applyFill="1" applyBorder="1" applyAlignment="1" applyProtection="1">
      <alignment horizontal="left" vertical="top" wrapText="1"/>
    </xf>
    <xf numFmtId="0" fontId="6" fillId="2" borderId="13" xfId="0" applyFont="1" applyFill="1" applyBorder="1" applyAlignment="1" applyProtection="1">
      <alignment horizontal="center" vertical="top" wrapText="1"/>
    </xf>
    <xf numFmtId="0" fontId="6" fillId="0" borderId="5" xfId="0" applyFont="1" applyBorder="1" applyAlignment="1" applyProtection="1">
      <alignment horizontal="center" vertical="top" wrapText="1"/>
    </xf>
    <xf numFmtId="0" fontId="6" fillId="2" borderId="5" xfId="0" applyFont="1" applyFill="1" applyBorder="1" applyAlignment="1" applyProtection="1">
      <alignment horizontal="center" vertical="top" wrapText="1"/>
    </xf>
    <xf numFmtId="0" fontId="6" fillId="0" borderId="6" xfId="0" applyFont="1" applyBorder="1" applyAlignment="1" applyProtection="1">
      <alignment horizontal="center" vertical="top" wrapText="1"/>
    </xf>
    <xf numFmtId="0" fontId="6" fillId="0" borderId="49" xfId="0" applyFont="1" applyFill="1" applyBorder="1" applyAlignment="1" applyProtection="1">
      <alignment horizontal="left" vertical="top" wrapText="1"/>
    </xf>
    <xf numFmtId="0" fontId="6" fillId="2" borderId="11" xfId="0" applyFont="1" applyFill="1" applyBorder="1" applyAlignment="1" applyProtection="1">
      <alignment horizontal="center" vertical="top" wrapText="1"/>
    </xf>
    <xf numFmtId="0" fontId="6" fillId="0" borderId="1" xfId="0" applyFont="1" applyBorder="1" applyAlignment="1" applyProtection="1">
      <alignment horizontal="center" vertical="top" wrapText="1"/>
    </xf>
    <xf numFmtId="0" fontId="6" fillId="2" borderId="1" xfId="0" applyFont="1" applyFill="1" applyBorder="1" applyAlignment="1" applyProtection="1">
      <alignment horizontal="center" vertical="top" wrapText="1"/>
    </xf>
    <xf numFmtId="0" fontId="6" fillId="0" borderId="2" xfId="0" applyFont="1" applyBorder="1" applyAlignment="1" applyProtection="1">
      <alignment horizontal="center" vertical="top" wrapText="1"/>
    </xf>
    <xf numFmtId="0" fontId="6" fillId="0" borderId="52" xfId="0" applyFont="1" applyFill="1" applyBorder="1" applyAlignment="1" applyProtection="1">
      <alignment horizontal="left" vertical="top" wrapText="1"/>
    </xf>
    <xf numFmtId="0" fontId="6" fillId="2" borderId="54" xfId="0" applyFont="1" applyFill="1" applyBorder="1" applyAlignment="1" applyProtection="1">
      <alignment horizontal="center" vertical="top" wrapText="1"/>
    </xf>
    <xf numFmtId="0" fontId="6" fillId="0" borderId="18" xfId="0" applyFont="1" applyBorder="1" applyAlignment="1" applyProtection="1">
      <alignment horizontal="center" vertical="top" wrapText="1"/>
    </xf>
    <xf numFmtId="0" fontId="6" fillId="2" borderId="18" xfId="0" applyFont="1" applyFill="1" applyBorder="1" applyAlignment="1" applyProtection="1">
      <alignment horizontal="center" vertical="top" wrapText="1"/>
    </xf>
    <xf numFmtId="0" fontId="6" fillId="0" borderId="19" xfId="0" applyFont="1" applyBorder="1" applyAlignment="1" applyProtection="1">
      <alignment horizontal="center" vertical="top" wrapText="1"/>
    </xf>
    <xf numFmtId="0" fontId="6" fillId="0" borderId="21" xfId="0" applyFont="1" applyBorder="1" applyAlignment="1" applyProtection="1">
      <alignment horizontal="left" vertical="top" wrapText="1"/>
    </xf>
    <xf numFmtId="0" fontId="6" fillId="0" borderId="43" xfId="0" applyFont="1" applyBorder="1" applyProtection="1"/>
    <xf numFmtId="0" fontId="6" fillId="0" borderId="40" xfId="0" applyFont="1" applyBorder="1" applyAlignment="1" applyProtection="1">
      <alignment horizontal="left" vertical="top" wrapText="1"/>
    </xf>
    <xf numFmtId="0" fontId="6" fillId="0" borderId="37" xfId="0" applyFont="1" applyBorder="1" applyAlignment="1" applyProtection="1">
      <alignment horizontal="left" vertical="top" wrapText="1"/>
    </xf>
    <xf numFmtId="0" fontId="14" fillId="0" borderId="0" xfId="0" applyFont="1" applyProtection="1"/>
    <xf numFmtId="0" fontId="19" fillId="0" borderId="0" xfId="0" applyFont="1" applyProtection="1"/>
    <xf numFmtId="0" fontId="14" fillId="0" borderId="0" xfId="0" applyFont="1" applyAlignment="1" applyProtection="1">
      <alignment horizontal="right"/>
    </xf>
    <xf numFmtId="0" fontId="13" fillId="0" borderId="0" xfId="0" applyFont="1" applyAlignment="1" applyProtection="1">
      <alignment horizontal="left" vertical="top"/>
    </xf>
    <xf numFmtId="0" fontId="14" fillId="0" borderId="0" xfId="0" applyFont="1" applyAlignment="1" applyProtection="1">
      <alignment horizontal="center" vertical="top"/>
    </xf>
    <xf numFmtId="0" fontId="9" fillId="0" borderId="0" xfId="0" applyFont="1" applyAlignment="1" applyProtection="1">
      <alignment horizontal="center"/>
    </xf>
    <xf numFmtId="0" fontId="5" fillId="2" borderId="23" xfId="0" applyFont="1" applyFill="1" applyBorder="1" applyAlignment="1" applyProtection="1">
      <alignment horizontal="center" vertical="center" wrapText="1"/>
    </xf>
    <xf numFmtId="0" fontId="6" fillId="0" borderId="23" xfId="0" applyFont="1" applyFill="1" applyBorder="1" applyAlignment="1" applyProtection="1">
      <alignment horizontal="left" vertical="top" wrapText="1"/>
    </xf>
    <xf numFmtId="164" fontId="6" fillId="10" borderId="10" xfId="0" applyNumberFormat="1" applyFont="1" applyFill="1" applyBorder="1" applyAlignment="1" applyProtection="1">
      <alignment horizontal="center" vertical="top" wrapText="1"/>
    </xf>
    <xf numFmtId="0" fontId="8" fillId="0" borderId="0" xfId="0" applyFont="1" applyFill="1" applyProtection="1"/>
    <xf numFmtId="0" fontId="6" fillId="0" borderId="27" xfId="0" applyFont="1" applyFill="1" applyBorder="1" applyAlignment="1" applyProtection="1">
      <alignment horizontal="left" vertical="top" wrapText="1"/>
    </xf>
    <xf numFmtId="164" fontId="6" fillId="10" borderId="32" xfId="0" applyNumberFormat="1" applyFont="1" applyFill="1" applyBorder="1" applyAlignment="1" applyProtection="1">
      <alignment horizontal="center" vertical="top" wrapText="1"/>
    </xf>
    <xf numFmtId="0" fontId="6" fillId="0" borderId="46" xfId="0" applyFont="1" applyFill="1" applyBorder="1" applyAlignment="1" applyProtection="1">
      <alignment vertical="top" wrapText="1"/>
    </xf>
    <xf numFmtId="0" fontId="6" fillId="0" borderId="28" xfId="0" applyFont="1" applyFill="1" applyBorder="1" applyAlignment="1" applyProtection="1">
      <alignment horizontal="left" vertical="top" wrapText="1"/>
    </xf>
    <xf numFmtId="165" fontId="6" fillId="10" borderId="13" xfId="4" applyNumberFormat="1" applyFont="1" applyFill="1" applyBorder="1" applyAlignment="1" applyProtection="1">
      <alignment horizontal="center" vertical="top" wrapText="1"/>
    </xf>
    <xf numFmtId="165" fontId="6" fillId="0" borderId="5" xfId="4" applyNumberFormat="1" applyFont="1" applyFill="1" applyBorder="1" applyAlignment="1" applyProtection="1">
      <alignment horizontal="center" vertical="top" wrapText="1"/>
    </xf>
    <xf numFmtId="165" fontId="6" fillId="0" borderId="5" xfId="4" applyNumberFormat="1" applyFont="1" applyFill="1" applyBorder="1" applyAlignment="1" applyProtection="1">
      <alignment horizontal="center" vertical="top"/>
    </xf>
    <xf numFmtId="165" fontId="6" fillId="0" borderId="34" xfId="4" applyNumberFormat="1" applyFont="1" applyFill="1" applyBorder="1" applyAlignment="1" applyProtection="1">
      <alignment horizontal="center" vertical="top"/>
    </xf>
    <xf numFmtId="165" fontId="6" fillId="0" borderId="6" xfId="4" applyNumberFormat="1" applyFont="1" applyFill="1" applyBorder="1" applyAlignment="1" applyProtection="1">
      <alignment horizontal="center" vertical="top"/>
    </xf>
    <xf numFmtId="0" fontId="6" fillId="0" borderId="48" xfId="0" applyFont="1" applyFill="1" applyBorder="1" applyAlignment="1" applyProtection="1">
      <alignment vertical="top" wrapText="1"/>
    </xf>
    <xf numFmtId="0" fontId="6" fillId="0" borderId="7" xfId="0" applyFont="1" applyFill="1" applyBorder="1" applyAlignment="1" applyProtection="1">
      <alignment horizontal="left" vertical="top" wrapText="1"/>
    </xf>
    <xf numFmtId="9" fontId="6" fillId="0" borderId="26" xfId="4" applyFont="1" applyFill="1" applyBorder="1" applyAlignment="1" applyProtection="1">
      <alignment horizontal="center" vertical="top" wrapText="1"/>
    </xf>
    <xf numFmtId="0" fontId="6" fillId="0" borderId="21" xfId="0" applyFont="1" applyFill="1" applyBorder="1" applyAlignment="1" applyProtection="1">
      <alignment vertical="top" wrapText="1"/>
    </xf>
    <xf numFmtId="165" fontId="6" fillId="0" borderId="57" xfId="4" applyNumberFormat="1" applyFont="1" applyFill="1" applyBorder="1" applyAlignment="1" applyProtection="1">
      <alignment horizontal="center" vertical="top" wrapText="1"/>
    </xf>
    <xf numFmtId="165" fontId="6" fillId="0" borderId="57" xfId="4" applyNumberFormat="1" applyFont="1" applyFill="1" applyBorder="1" applyAlignment="1" applyProtection="1">
      <alignment horizontal="center" vertical="top"/>
    </xf>
    <xf numFmtId="165" fontId="6" fillId="0" borderId="61" xfId="4" applyNumberFormat="1" applyFont="1" applyFill="1" applyBorder="1" applyAlignment="1" applyProtection="1">
      <alignment horizontal="center" vertical="top"/>
    </xf>
    <xf numFmtId="165" fontId="6" fillId="0" borderId="58" xfId="4" applyNumberFormat="1" applyFont="1" applyFill="1" applyBorder="1" applyAlignment="1" applyProtection="1">
      <alignment horizontal="center" vertical="top"/>
    </xf>
    <xf numFmtId="0" fontId="6" fillId="0" borderId="60" xfId="0" applyFont="1" applyFill="1" applyBorder="1" applyAlignment="1" applyProtection="1">
      <alignment horizontal="left" vertical="top" wrapText="1"/>
    </xf>
    <xf numFmtId="165" fontId="6" fillId="0" borderId="62" xfId="4" applyNumberFormat="1" applyFont="1" applyFill="1" applyBorder="1" applyAlignment="1" applyProtection="1">
      <alignment horizontal="center" vertical="top" wrapText="1"/>
    </xf>
    <xf numFmtId="9" fontId="6" fillId="0" borderId="39" xfId="4" applyFont="1" applyFill="1" applyBorder="1" applyAlignment="1" applyProtection="1">
      <alignment horizontal="center" vertical="top" wrapText="1"/>
    </xf>
    <xf numFmtId="9" fontId="6" fillId="0" borderId="39" xfId="4" applyFont="1" applyFill="1" applyBorder="1" applyAlignment="1" applyProtection="1">
      <alignment horizontal="center" vertical="top"/>
    </xf>
    <xf numFmtId="9" fontId="6" fillId="0" borderId="47" xfId="4" applyFont="1" applyFill="1" applyBorder="1" applyAlignment="1" applyProtection="1">
      <alignment horizontal="center" vertical="top"/>
    </xf>
    <xf numFmtId="0" fontId="6" fillId="0" borderId="45" xfId="0" applyFont="1" applyFill="1" applyBorder="1" applyAlignment="1" applyProtection="1">
      <alignment vertical="top" wrapText="1"/>
    </xf>
    <xf numFmtId="165" fontId="6" fillId="0" borderId="26" xfId="4" applyNumberFormat="1" applyFont="1" applyFill="1" applyBorder="1" applyAlignment="1" applyProtection="1">
      <alignment horizontal="center" vertical="top" wrapText="1"/>
    </xf>
    <xf numFmtId="165" fontId="6" fillId="0" borderId="58" xfId="4" applyNumberFormat="1" applyFont="1" applyFill="1" applyBorder="1" applyAlignment="1" applyProtection="1">
      <alignment horizontal="center" vertical="top" wrapText="1"/>
    </xf>
    <xf numFmtId="0" fontId="6" fillId="0" borderId="42" xfId="0" applyFont="1" applyFill="1" applyBorder="1" applyAlignment="1" applyProtection="1">
      <alignment vertical="top" wrapText="1"/>
    </xf>
    <xf numFmtId="0" fontId="6" fillId="0" borderId="34" xfId="0" applyFont="1" applyBorder="1" applyAlignment="1" applyProtection="1">
      <alignment horizontal="center" vertical="top" wrapText="1"/>
    </xf>
    <xf numFmtId="0" fontId="6" fillId="0" borderId="33" xfId="0" applyFont="1" applyBorder="1" applyAlignment="1" applyProtection="1">
      <alignment horizontal="center" vertical="top" wrapText="1"/>
    </xf>
    <xf numFmtId="0" fontId="6" fillId="0" borderId="36" xfId="0" applyFont="1" applyBorder="1" applyAlignment="1" applyProtection="1">
      <alignment horizontal="left" vertical="top" wrapText="1"/>
    </xf>
    <xf numFmtId="0" fontId="6" fillId="0" borderId="50" xfId="0" applyFont="1" applyFill="1" applyBorder="1" applyAlignment="1" applyProtection="1">
      <alignment horizontal="left" vertical="top" wrapText="1"/>
    </xf>
    <xf numFmtId="0" fontId="6" fillId="2" borderId="12" xfId="0" applyFont="1" applyFill="1" applyBorder="1" applyAlignment="1" applyProtection="1">
      <alignment horizontal="center" vertical="top" wrapText="1"/>
    </xf>
    <xf numFmtId="0" fontId="6" fillId="0" borderId="3" xfId="0" applyFont="1" applyBorder="1" applyAlignment="1" applyProtection="1">
      <alignment horizontal="center" vertical="top" wrapText="1"/>
    </xf>
    <xf numFmtId="0" fontId="6" fillId="0" borderId="35" xfId="0" applyFont="1" applyBorder="1" applyAlignment="1" applyProtection="1">
      <alignment horizontal="center" vertical="top" wrapText="1"/>
    </xf>
    <xf numFmtId="0" fontId="6" fillId="0" borderId="0" xfId="0" applyFont="1" applyAlignment="1" applyProtection="1">
      <alignment horizontal="center"/>
    </xf>
    <xf numFmtId="164" fontId="6" fillId="2" borderId="13" xfId="0" applyNumberFormat="1" applyFont="1" applyFill="1" applyBorder="1" applyAlignment="1" applyProtection="1">
      <alignment horizontal="center" vertical="top" wrapText="1"/>
    </xf>
    <xf numFmtId="164" fontId="6" fillId="0" borderId="5" xfId="0" applyNumberFormat="1" applyFont="1" applyFill="1" applyBorder="1" applyAlignment="1" applyProtection="1">
      <alignment horizontal="center" vertical="top" wrapText="1"/>
    </xf>
    <xf numFmtId="164" fontId="6" fillId="0" borderId="34" xfId="0" applyNumberFormat="1" applyFont="1" applyFill="1" applyBorder="1" applyAlignment="1" applyProtection="1">
      <alignment horizontal="center" vertical="top"/>
    </xf>
    <xf numFmtId="0" fontId="6" fillId="0" borderId="55" xfId="0" applyFont="1" applyFill="1" applyBorder="1" applyAlignment="1" applyProtection="1">
      <alignment horizontal="center" vertical="top" wrapText="1"/>
    </xf>
    <xf numFmtId="164" fontId="6" fillId="2" borderId="53" xfId="0" applyNumberFormat="1" applyFont="1" applyFill="1" applyBorder="1" applyAlignment="1" applyProtection="1">
      <alignment horizontal="center" vertical="top" wrapText="1"/>
    </xf>
    <xf numFmtId="164" fontId="6" fillId="0" borderId="59" xfId="0" applyNumberFormat="1" applyFont="1" applyFill="1" applyBorder="1" applyAlignment="1" applyProtection="1">
      <alignment horizontal="center" vertical="top"/>
    </xf>
    <xf numFmtId="0" fontId="6" fillId="0" borderId="41" xfId="0" applyFont="1" applyFill="1" applyBorder="1" applyAlignment="1" applyProtection="1">
      <alignment horizontal="left" vertical="top" wrapText="1"/>
    </xf>
    <xf numFmtId="0" fontId="6" fillId="0" borderId="38" xfId="0" applyFont="1" applyFill="1" applyBorder="1" applyAlignment="1" applyProtection="1">
      <alignment horizontal="left" vertical="top" wrapText="1"/>
    </xf>
    <xf numFmtId="0" fontId="6" fillId="0" borderId="44" xfId="0" applyFont="1" applyFill="1" applyBorder="1" applyAlignment="1" applyProtection="1">
      <alignment horizontal="left" vertical="top" wrapText="1"/>
    </xf>
    <xf numFmtId="0" fontId="6" fillId="0" borderId="36" xfId="0" applyFont="1" applyFill="1" applyBorder="1" applyAlignment="1" applyProtection="1">
      <alignment horizontal="left" vertical="top" wrapText="1"/>
    </xf>
    <xf numFmtId="164" fontId="6" fillId="0" borderId="8" xfId="0" applyNumberFormat="1" applyFont="1" applyFill="1" applyBorder="1" applyAlignment="1" applyProtection="1">
      <alignment horizontal="center" vertical="top" wrapText="1"/>
    </xf>
    <xf numFmtId="164" fontId="6" fillId="2" borderId="11" xfId="0" applyNumberFormat="1" applyFont="1" applyFill="1" applyBorder="1" applyAlignment="1" applyProtection="1">
      <alignment horizontal="center" vertical="top" wrapText="1"/>
    </xf>
    <xf numFmtId="164" fontId="6" fillId="0" borderId="33" xfId="0" applyNumberFormat="1" applyFont="1" applyFill="1" applyBorder="1" applyAlignment="1" applyProtection="1">
      <alignment horizontal="center" vertical="top"/>
    </xf>
    <xf numFmtId="164" fontId="6" fillId="0" borderId="3" xfId="0" applyNumberFormat="1" applyFont="1" applyFill="1" applyBorder="1" applyAlignment="1" applyProtection="1">
      <alignment horizontal="center" vertical="top" wrapText="1"/>
    </xf>
    <xf numFmtId="0" fontId="6" fillId="0" borderId="40" xfId="0" applyFont="1" applyFill="1" applyBorder="1" applyAlignment="1" applyProtection="1">
      <alignment horizontal="left" vertical="top" wrapText="1"/>
    </xf>
    <xf numFmtId="164" fontId="6" fillId="2" borderId="12" xfId="0" applyNumberFormat="1" applyFont="1" applyFill="1" applyBorder="1" applyAlignment="1" applyProtection="1">
      <alignment horizontal="center" vertical="top" wrapText="1"/>
    </xf>
    <xf numFmtId="164" fontId="6" fillId="0" borderId="35" xfId="0" applyNumberFormat="1" applyFont="1" applyFill="1" applyBorder="1" applyAlignment="1" applyProtection="1">
      <alignment horizontal="center" vertical="top"/>
    </xf>
    <xf numFmtId="0" fontId="6" fillId="0" borderId="37" xfId="0" applyFont="1" applyFill="1" applyBorder="1" applyAlignment="1" applyProtection="1">
      <alignment horizontal="left" vertical="top" wrapText="1"/>
    </xf>
    <xf numFmtId="0" fontId="6" fillId="0" borderId="0" xfId="0" applyFont="1" applyAlignment="1">
      <alignment horizontal="left" vertical="top" wrapText="1"/>
    </xf>
    <xf numFmtId="0" fontId="5" fillId="3" borderId="43" xfId="0" applyFont="1" applyFill="1" applyBorder="1" applyAlignment="1">
      <alignment horizontal="center"/>
    </xf>
    <xf numFmtId="0" fontId="5" fillId="3" borderId="0" xfId="0" applyFont="1" applyFill="1" applyBorder="1" applyAlignment="1">
      <alignment horizontal="center"/>
    </xf>
    <xf numFmtId="0" fontId="16" fillId="0" borderId="0" xfId="0" applyFont="1" applyAlignment="1">
      <alignment horizontal="left"/>
    </xf>
    <xf numFmtId="164" fontId="6" fillId="10" borderId="26" xfId="0" applyNumberFormat="1" applyFont="1" applyFill="1" applyBorder="1" applyAlignment="1" applyProtection="1">
      <alignment horizontal="center" vertical="top" wrapText="1"/>
    </xf>
    <xf numFmtId="164" fontId="6" fillId="10" borderId="39" xfId="0" applyNumberFormat="1" applyFont="1" applyFill="1" applyBorder="1" applyAlignment="1" applyProtection="1">
      <alignment horizontal="center" vertical="top" wrapText="1"/>
    </xf>
    <xf numFmtId="165" fontId="6" fillId="10" borderId="5" xfId="0" applyNumberFormat="1" applyFont="1" applyFill="1" applyBorder="1" applyAlignment="1" applyProtection="1">
      <alignment horizontal="center" vertical="center" wrapText="1"/>
    </xf>
    <xf numFmtId="165" fontId="6" fillId="10" borderId="3" xfId="0" applyNumberFormat="1" applyFont="1" applyFill="1" applyBorder="1" applyAlignment="1" applyProtection="1">
      <alignment horizontal="center" vertical="center" wrapText="1"/>
    </xf>
    <xf numFmtId="1" fontId="6" fillId="10" borderId="26" xfId="0" applyNumberFormat="1" applyFont="1" applyFill="1" applyBorder="1" applyAlignment="1" applyProtection="1">
      <alignment horizontal="center" vertical="center" wrapText="1"/>
    </xf>
    <xf numFmtId="1" fontId="6" fillId="10" borderId="39" xfId="0" applyNumberFormat="1" applyFont="1" applyFill="1" applyBorder="1" applyAlignment="1" applyProtection="1">
      <alignment horizontal="center" vertical="center" wrapText="1"/>
    </xf>
    <xf numFmtId="1" fontId="6" fillId="10" borderId="22" xfId="0" applyNumberFormat="1" applyFont="1" applyFill="1" applyBorder="1" applyAlignment="1" applyProtection="1">
      <alignment horizontal="center" vertical="center" wrapText="1"/>
    </xf>
    <xf numFmtId="1" fontId="6" fillId="10" borderId="32" xfId="0" applyNumberFormat="1" applyFont="1" applyFill="1" applyBorder="1" applyAlignment="1" applyProtection="1">
      <alignment horizontal="center" vertical="center" wrapText="1"/>
    </xf>
    <xf numFmtId="165" fontId="6" fillId="10" borderId="18" xfId="0" applyNumberFormat="1" applyFont="1" applyFill="1" applyBorder="1" applyAlignment="1" applyProtection="1">
      <alignment horizontal="center" vertical="center" wrapText="1"/>
    </xf>
    <xf numFmtId="165" fontId="6" fillId="10" borderId="13" xfId="0" applyNumberFormat="1" applyFont="1" applyFill="1" applyBorder="1" applyAlignment="1" applyProtection="1">
      <alignment horizontal="center" vertical="center" wrapText="1"/>
    </xf>
    <xf numFmtId="165" fontId="6" fillId="10" borderId="54" xfId="0" applyNumberFormat="1" applyFont="1" applyFill="1" applyBorder="1" applyAlignment="1" applyProtection="1">
      <alignment horizontal="center" vertical="center" wrapText="1"/>
    </xf>
    <xf numFmtId="164" fontId="6" fillId="10" borderId="13" xfId="0" applyNumberFormat="1" applyFont="1" applyFill="1" applyBorder="1" applyAlignment="1" applyProtection="1">
      <alignment horizontal="center" vertical="top" wrapText="1"/>
    </xf>
    <xf numFmtId="164" fontId="6" fillId="10" borderId="12" xfId="0" applyNumberFormat="1" applyFont="1" applyFill="1" applyBorder="1" applyAlignment="1" applyProtection="1">
      <alignment horizontal="center" vertical="top" wrapText="1"/>
    </xf>
    <xf numFmtId="165" fontId="6" fillId="10" borderId="5" xfId="0" applyNumberFormat="1" applyFont="1" applyFill="1" applyBorder="1" applyAlignment="1" applyProtection="1">
      <alignment horizontal="center" vertical="top" wrapText="1"/>
    </xf>
    <xf numFmtId="165" fontId="6" fillId="10" borderId="3" xfId="0" applyNumberFormat="1" applyFont="1" applyFill="1" applyBorder="1" applyAlignment="1" applyProtection="1">
      <alignment horizontal="center" vertical="top" wrapText="1"/>
    </xf>
    <xf numFmtId="165" fontId="6" fillId="10" borderId="13" xfId="0" applyNumberFormat="1" applyFont="1" applyFill="1" applyBorder="1" applyAlignment="1" applyProtection="1">
      <alignment horizontal="center" vertical="top" wrapText="1"/>
    </xf>
    <xf numFmtId="165" fontId="6" fillId="10" borderId="12" xfId="0" applyNumberFormat="1" applyFont="1" applyFill="1" applyBorder="1" applyAlignment="1" applyProtection="1">
      <alignment horizontal="center" vertical="top" wrapText="1"/>
    </xf>
    <xf numFmtId="165" fontId="6" fillId="10" borderId="12" xfId="0" applyNumberFormat="1" applyFont="1" applyFill="1" applyBorder="1" applyAlignment="1" applyProtection="1">
      <alignment horizontal="center" vertical="center" wrapText="1"/>
    </xf>
    <xf numFmtId="0" fontId="7" fillId="3" borderId="23" xfId="0" applyFont="1" applyFill="1" applyBorder="1" applyAlignment="1" applyProtection="1">
      <alignment horizontal="left" vertical="center" wrapText="1"/>
    </xf>
    <xf numFmtId="0" fontId="7" fillId="3" borderId="24" xfId="0" applyFont="1" applyFill="1" applyBorder="1" applyAlignment="1" applyProtection="1">
      <alignment horizontal="left" vertical="center" wrapText="1"/>
    </xf>
    <xf numFmtId="0" fontId="7" fillId="3" borderId="25" xfId="0" applyFont="1" applyFill="1" applyBorder="1" applyAlignment="1" applyProtection="1">
      <alignment horizontal="left" vertical="center" wrapText="1"/>
    </xf>
    <xf numFmtId="165" fontId="6" fillId="0" borderId="5" xfId="0" applyNumberFormat="1" applyFont="1" applyBorder="1" applyAlignment="1" applyProtection="1">
      <alignment horizontal="center" vertical="top" wrapText="1"/>
    </xf>
    <xf numFmtId="165" fontId="6" fillId="0" borderId="3" xfId="0" applyNumberFormat="1" applyFont="1" applyBorder="1" applyAlignment="1" applyProtection="1">
      <alignment horizontal="center" vertical="top" wrapText="1"/>
    </xf>
    <xf numFmtId="165" fontId="6" fillId="0" borderId="6" xfId="0" applyNumberFormat="1" applyFont="1" applyBorder="1" applyAlignment="1" applyProtection="1">
      <alignment horizontal="center" vertical="top" wrapText="1"/>
    </xf>
    <xf numFmtId="165" fontId="6" fillId="0" borderId="4" xfId="0" applyNumberFormat="1" applyFont="1" applyBorder="1" applyAlignment="1" applyProtection="1">
      <alignment horizontal="center" vertical="top" wrapText="1"/>
    </xf>
    <xf numFmtId="165" fontId="6" fillId="0" borderId="6" xfId="0" applyNumberFormat="1" applyFont="1" applyBorder="1" applyAlignment="1" applyProtection="1">
      <alignment horizontal="center" vertical="center" wrapText="1"/>
    </xf>
    <xf numFmtId="165" fontId="6" fillId="0" borderId="4" xfId="0" applyNumberFormat="1" applyFont="1" applyBorder="1" applyAlignment="1" applyProtection="1">
      <alignment horizontal="center" vertical="center" wrapText="1"/>
    </xf>
    <xf numFmtId="0" fontId="6" fillId="0" borderId="21" xfId="0" applyFont="1" applyBorder="1" applyAlignment="1" applyProtection="1">
      <alignment horizontal="left" vertical="top"/>
    </xf>
    <xf numFmtId="0" fontId="6" fillId="0" borderId="45" xfId="0" applyFont="1" applyBorder="1" applyAlignment="1" applyProtection="1">
      <alignment horizontal="left" vertical="top"/>
    </xf>
    <xf numFmtId="165" fontId="6" fillId="0" borderId="5" xfId="0" applyNumberFormat="1" applyFont="1" applyBorder="1" applyAlignment="1" applyProtection="1">
      <alignment horizontal="center" vertical="center" wrapText="1"/>
    </xf>
    <xf numFmtId="165" fontId="6" fillId="0" borderId="3" xfId="0" applyNumberFormat="1" applyFont="1" applyBorder="1" applyAlignment="1" applyProtection="1">
      <alignment horizontal="center" vertical="center" wrapText="1"/>
    </xf>
    <xf numFmtId="164" fontId="6" fillId="0" borderId="5" xfId="0" applyNumberFormat="1" applyFont="1" applyFill="1" applyBorder="1" applyAlignment="1" applyProtection="1">
      <alignment horizontal="center" vertical="top"/>
    </xf>
    <xf numFmtId="164" fontId="6" fillId="0" borderId="3" xfId="0" applyNumberFormat="1" applyFont="1" applyFill="1" applyBorder="1" applyAlignment="1" applyProtection="1">
      <alignment horizontal="center" vertical="top"/>
    </xf>
    <xf numFmtId="164" fontId="6" fillId="10" borderId="5" xfId="0" applyNumberFormat="1" applyFont="1" applyFill="1" applyBorder="1" applyAlignment="1" applyProtection="1">
      <alignment horizontal="center" vertical="top"/>
    </xf>
    <xf numFmtId="164" fontId="6" fillId="10" borderId="3" xfId="0" applyNumberFormat="1" applyFont="1" applyFill="1" applyBorder="1" applyAlignment="1" applyProtection="1">
      <alignment horizontal="center" vertical="top"/>
    </xf>
    <xf numFmtId="164" fontId="6" fillId="0" borderId="26" xfId="0" applyNumberFormat="1" applyFont="1" applyFill="1" applyBorder="1" applyAlignment="1" applyProtection="1">
      <alignment horizontal="center" vertical="top"/>
    </xf>
    <xf numFmtId="164" fontId="6" fillId="0" borderId="39" xfId="0" applyNumberFormat="1" applyFont="1" applyFill="1" applyBorder="1" applyAlignment="1" applyProtection="1">
      <alignment horizontal="center" vertical="top"/>
    </xf>
    <xf numFmtId="0" fontId="6" fillId="0" borderId="29" xfId="0" applyFont="1" applyBorder="1" applyAlignment="1" applyProtection="1">
      <alignment horizontal="center" vertical="center" wrapText="1"/>
    </xf>
    <xf numFmtId="0" fontId="6" fillId="0" borderId="47" xfId="0" applyFont="1" applyBorder="1" applyAlignment="1" applyProtection="1">
      <alignment horizontal="center" vertical="center" wrapText="1"/>
    </xf>
    <xf numFmtId="0" fontId="6" fillId="0" borderId="26" xfId="0" applyFont="1" applyBorder="1" applyAlignment="1" applyProtection="1">
      <alignment horizontal="center" vertical="center" wrapText="1"/>
    </xf>
    <xf numFmtId="0" fontId="6" fillId="0" borderId="39" xfId="0" applyFont="1" applyBorder="1" applyAlignment="1" applyProtection="1">
      <alignment horizontal="center" vertical="center" wrapText="1"/>
    </xf>
    <xf numFmtId="165" fontId="6" fillId="0" borderId="5" xfId="0" applyNumberFormat="1" applyFont="1" applyFill="1" applyBorder="1" applyAlignment="1" applyProtection="1">
      <alignment horizontal="center" vertical="center" wrapText="1"/>
    </xf>
    <xf numFmtId="165" fontId="6" fillId="0" borderId="18" xfId="0" applyNumberFormat="1" applyFont="1" applyFill="1" applyBorder="1" applyAlignment="1" applyProtection="1">
      <alignment horizontal="center" vertical="center" wrapText="1"/>
    </xf>
    <xf numFmtId="0" fontId="6" fillId="0" borderId="44" xfId="0" applyFont="1" applyBorder="1" applyAlignment="1" applyProtection="1">
      <alignment horizontal="left" vertical="top" wrapText="1"/>
    </xf>
    <xf numFmtId="0" fontId="6" fillId="0" borderId="45" xfId="0" applyFont="1" applyBorder="1" applyAlignment="1" applyProtection="1">
      <alignment horizontal="left" vertical="top" wrapText="1"/>
    </xf>
    <xf numFmtId="0" fontId="6" fillId="0" borderId="21" xfId="0" applyFont="1" applyBorder="1" applyAlignment="1" applyProtection="1">
      <alignment horizontal="left" vertical="top" wrapText="1"/>
    </xf>
    <xf numFmtId="164" fontId="6" fillId="10" borderId="13" xfId="4" applyNumberFormat="1" applyFont="1" applyFill="1" applyBorder="1" applyAlignment="1" applyProtection="1">
      <alignment horizontal="center" vertical="top" wrapText="1"/>
    </xf>
    <xf numFmtId="164" fontId="6" fillId="10" borderId="12" xfId="4" applyNumberFormat="1" applyFont="1" applyFill="1" applyBorder="1" applyAlignment="1" applyProtection="1">
      <alignment horizontal="center" vertical="top" wrapText="1"/>
    </xf>
    <xf numFmtId="164" fontId="6" fillId="0" borderId="6" xfId="0" applyNumberFormat="1" applyFont="1" applyFill="1" applyBorder="1" applyAlignment="1" applyProtection="1">
      <alignment horizontal="center" vertical="top"/>
    </xf>
    <xf numFmtId="164" fontId="6" fillId="0" borderId="4" xfId="0" applyNumberFormat="1" applyFont="1" applyFill="1" applyBorder="1" applyAlignment="1" applyProtection="1">
      <alignment horizontal="center" vertical="top"/>
    </xf>
    <xf numFmtId="164" fontId="6" fillId="0" borderId="16" xfId="0" applyNumberFormat="1" applyFont="1" applyFill="1" applyBorder="1" applyAlignment="1" applyProtection="1">
      <alignment horizontal="center" vertical="top"/>
    </xf>
    <xf numFmtId="164" fontId="6" fillId="0" borderId="17" xfId="0" applyNumberFormat="1" applyFont="1" applyFill="1" applyBorder="1" applyAlignment="1" applyProtection="1">
      <alignment horizontal="center" vertical="top"/>
    </xf>
    <xf numFmtId="164" fontId="6" fillId="0" borderId="26" xfId="0" applyNumberFormat="1" applyFont="1" applyFill="1" applyBorder="1" applyAlignment="1" applyProtection="1">
      <alignment horizontal="center" vertical="top" wrapText="1"/>
    </xf>
    <xf numFmtId="164" fontId="6" fillId="0" borderId="39" xfId="0" applyNumberFormat="1" applyFont="1" applyFill="1" applyBorder="1" applyAlignment="1" applyProtection="1">
      <alignment horizontal="center" vertical="top" wrapText="1"/>
    </xf>
    <xf numFmtId="165" fontId="6" fillId="0" borderId="6" xfId="0" applyNumberFormat="1" applyFont="1" applyFill="1" applyBorder="1" applyAlignment="1" applyProtection="1">
      <alignment horizontal="center" vertical="center" wrapText="1"/>
    </xf>
    <xf numFmtId="165" fontId="6" fillId="0" borderId="19" xfId="0" applyNumberFormat="1" applyFont="1" applyFill="1" applyBorder="1" applyAlignment="1" applyProtection="1">
      <alignment horizontal="center" vertical="center" wrapText="1"/>
    </xf>
    <xf numFmtId="0" fontId="6" fillId="0" borderId="21" xfId="0" applyFont="1" applyFill="1" applyBorder="1" applyAlignment="1" applyProtection="1">
      <alignment horizontal="left" vertical="top" wrapText="1"/>
    </xf>
    <xf numFmtId="0" fontId="6" fillId="0" borderId="45" xfId="0" applyFont="1" applyFill="1" applyBorder="1" applyAlignment="1" applyProtection="1">
      <alignment horizontal="left" vertical="top" wrapText="1"/>
    </xf>
    <xf numFmtId="0" fontId="13" fillId="0" borderId="0" xfId="0" applyFont="1" applyAlignment="1" applyProtection="1">
      <alignment horizontal="left" vertical="top"/>
    </xf>
    <xf numFmtId="0" fontId="5" fillId="2" borderId="21" xfId="0" applyFont="1" applyFill="1" applyBorder="1" applyAlignment="1" applyProtection="1">
      <alignment horizontal="center" vertical="center"/>
    </xf>
    <xf numFmtId="0" fontId="5" fillId="2" borderId="45" xfId="0" applyFont="1" applyFill="1" applyBorder="1" applyAlignment="1" applyProtection="1">
      <alignment horizontal="center" vertical="center"/>
    </xf>
    <xf numFmtId="0" fontId="5" fillId="2" borderId="21" xfId="0" applyFont="1" applyFill="1" applyBorder="1" applyAlignment="1" applyProtection="1">
      <alignment horizontal="center" vertical="center" wrapText="1"/>
    </xf>
    <xf numFmtId="0" fontId="5" fillId="2" borderId="45" xfId="0" applyFont="1" applyFill="1" applyBorder="1" applyAlignment="1" applyProtection="1">
      <alignment horizontal="center" vertical="center" wrapText="1"/>
    </xf>
    <xf numFmtId="0" fontId="11" fillId="0" borderId="0" xfId="0" applyFont="1" applyAlignment="1" applyProtection="1">
      <alignment horizontal="left" vertical="top"/>
    </xf>
    <xf numFmtId="0" fontId="5" fillId="2" borderId="23" xfId="0" applyFont="1" applyFill="1" applyBorder="1" applyAlignment="1" applyProtection="1">
      <alignment horizontal="center" vertical="center"/>
    </xf>
    <xf numFmtId="0" fontId="5" fillId="2" borderId="24" xfId="0" applyFont="1" applyFill="1" applyBorder="1" applyAlignment="1" applyProtection="1">
      <alignment horizontal="center" vertical="center"/>
    </xf>
    <xf numFmtId="0" fontId="5" fillId="2" borderId="25" xfId="0" applyFont="1" applyFill="1" applyBorder="1" applyAlignment="1" applyProtection="1">
      <alignment horizontal="center" vertical="center"/>
    </xf>
    <xf numFmtId="0" fontId="9" fillId="0" borderId="0" xfId="0" applyFont="1" applyAlignment="1" applyProtection="1">
      <alignment horizontal="left" vertical="top" wrapText="1"/>
    </xf>
    <xf numFmtId="164" fontId="10" fillId="10" borderId="5" xfId="0" applyNumberFormat="1" applyFont="1" applyFill="1" applyBorder="1" applyAlignment="1" applyProtection="1">
      <alignment horizontal="center" vertical="top" wrapText="1"/>
    </xf>
    <xf numFmtId="164" fontId="10" fillId="10" borderId="1" xfId="0" applyNumberFormat="1" applyFont="1" applyFill="1" applyBorder="1" applyAlignment="1" applyProtection="1">
      <alignment horizontal="center" vertical="top" wrapText="1"/>
    </xf>
    <xf numFmtId="0" fontId="7" fillId="3" borderId="23" xfId="0" applyFont="1" applyFill="1" applyBorder="1" applyAlignment="1">
      <alignment horizontal="left" vertical="center" wrapText="1"/>
    </xf>
    <xf numFmtId="0" fontId="7" fillId="3" borderId="24" xfId="0" applyFont="1" applyFill="1" applyBorder="1" applyAlignment="1">
      <alignment horizontal="left" vertical="center" wrapText="1"/>
    </xf>
    <xf numFmtId="0" fontId="7" fillId="3" borderId="25" xfId="0" applyFont="1" applyFill="1" applyBorder="1" applyAlignment="1">
      <alignment horizontal="left" vertical="center" wrapText="1"/>
    </xf>
    <xf numFmtId="0" fontId="6" fillId="0" borderId="44" xfId="0" applyFont="1" applyFill="1" applyBorder="1" applyAlignment="1" applyProtection="1">
      <alignment horizontal="left" vertical="top" wrapText="1"/>
      <protection locked="0"/>
    </xf>
    <xf numFmtId="0" fontId="6" fillId="0" borderId="45" xfId="0" applyFont="1" applyFill="1" applyBorder="1" applyAlignment="1" applyProtection="1">
      <alignment horizontal="left" vertical="top" wrapText="1"/>
      <protection locked="0"/>
    </xf>
    <xf numFmtId="164" fontId="6" fillId="10" borderId="11" xfId="0" applyNumberFormat="1" applyFont="1" applyFill="1" applyBorder="1" applyAlignment="1" applyProtection="1">
      <alignment horizontal="center" vertical="top" wrapText="1"/>
    </xf>
    <xf numFmtId="164" fontId="6" fillId="10" borderId="5" xfId="0" applyNumberFormat="1" applyFont="1" applyFill="1" applyBorder="1" applyAlignment="1" applyProtection="1">
      <alignment horizontal="center" vertical="top" wrapText="1"/>
    </xf>
    <xf numFmtId="164" fontId="6" fillId="10" borderId="1" xfId="0" applyNumberFormat="1" applyFont="1" applyFill="1" applyBorder="1" applyAlignment="1" applyProtection="1">
      <alignment horizontal="center" vertical="top" wrapText="1"/>
    </xf>
    <xf numFmtId="164" fontId="10" fillId="10" borderId="6" xfId="0" applyNumberFormat="1" applyFont="1" applyFill="1" applyBorder="1" applyAlignment="1" applyProtection="1">
      <alignment horizontal="center" vertical="top" wrapText="1"/>
    </xf>
    <xf numFmtId="164" fontId="10" fillId="10" borderId="2" xfId="0" applyNumberFormat="1" applyFont="1" applyFill="1" applyBorder="1" applyAlignment="1" applyProtection="1">
      <alignment horizontal="center" vertical="top" wrapText="1"/>
    </xf>
    <xf numFmtId="0" fontId="6" fillId="0" borderId="21" xfId="0" applyFont="1" applyFill="1" applyBorder="1" applyAlignment="1" applyProtection="1">
      <alignment horizontal="left" vertical="top" wrapText="1"/>
      <protection locked="0"/>
    </xf>
    <xf numFmtId="164" fontId="6" fillId="10" borderId="1" xfId="0" applyNumberFormat="1" applyFont="1" applyFill="1" applyBorder="1" applyAlignment="1" applyProtection="1">
      <alignment horizontal="center" vertical="top"/>
    </xf>
    <xf numFmtId="0" fontId="6" fillId="0" borderId="38" xfId="0" applyFont="1" applyFill="1" applyBorder="1" applyAlignment="1" applyProtection="1">
      <alignment horizontal="left" vertical="top"/>
      <protection locked="0"/>
    </xf>
    <xf numFmtId="0" fontId="6" fillId="0" borderId="44" xfId="0" applyFont="1" applyFill="1" applyBorder="1" applyAlignment="1" applyProtection="1">
      <alignment horizontal="left" vertical="top"/>
      <protection locked="0"/>
    </xf>
    <xf numFmtId="0" fontId="6" fillId="0" borderId="41" xfId="0" applyFont="1" applyFill="1" applyBorder="1" applyAlignment="1" applyProtection="1">
      <alignment horizontal="left" vertical="top"/>
      <protection locked="0"/>
    </xf>
    <xf numFmtId="0" fontId="6" fillId="0" borderId="38" xfId="0" applyFont="1" applyFill="1" applyBorder="1" applyAlignment="1" applyProtection="1">
      <alignment horizontal="left" vertical="top" wrapText="1"/>
      <protection locked="0"/>
    </xf>
    <xf numFmtId="0" fontId="6" fillId="0" borderId="41" xfId="0" applyFont="1" applyFill="1" applyBorder="1" applyAlignment="1" applyProtection="1">
      <alignment horizontal="left" vertical="top" wrapText="1"/>
      <protection locked="0"/>
    </xf>
    <xf numFmtId="0" fontId="13" fillId="0" borderId="0" xfId="0" applyFont="1" applyAlignment="1">
      <alignment horizontal="left" vertical="top"/>
    </xf>
    <xf numFmtId="0" fontId="9" fillId="0" borderId="0" xfId="0" applyFont="1" applyAlignment="1">
      <alignment horizontal="left" vertical="top" wrapText="1"/>
    </xf>
    <xf numFmtId="0" fontId="5" fillId="2" borderId="21" xfId="0" applyFont="1" applyFill="1" applyBorder="1" applyAlignment="1">
      <alignment horizontal="center" vertical="center" wrapText="1"/>
    </xf>
    <xf numFmtId="0" fontId="5" fillId="2" borderId="45" xfId="0" applyFont="1" applyFill="1" applyBorder="1" applyAlignment="1">
      <alignment horizontal="center" vertical="center" wrapText="1"/>
    </xf>
    <xf numFmtId="0" fontId="5" fillId="2" borderId="21" xfId="0" applyFont="1" applyFill="1" applyBorder="1" applyAlignment="1">
      <alignment horizontal="center" vertical="center"/>
    </xf>
    <xf numFmtId="0" fontId="5" fillId="2" borderId="45"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43" xfId="0" applyFont="1" applyFill="1" applyBorder="1" applyAlignment="1">
      <alignment horizontal="center" vertical="center"/>
    </xf>
    <xf numFmtId="0" fontId="5" fillId="2" borderId="42" xfId="0" applyFont="1" applyFill="1" applyBorder="1" applyAlignment="1">
      <alignment horizontal="center" vertical="center"/>
    </xf>
    <xf numFmtId="164" fontId="6" fillId="10" borderId="6" xfId="0" applyNumberFormat="1" applyFont="1" applyFill="1" applyBorder="1" applyAlignment="1" applyProtection="1">
      <alignment horizontal="center" vertical="top"/>
    </xf>
    <xf numFmtId="164" fontId="6" fillId="10" borderId="2" xfId="0" applyNumberFormat="1" applyFont="1" applyFill="1" applyBorder="1" applyAlignment="1" applyProtection="1">
      <alignment horizontal="center" vertical="top"/>
    </xf>
    <xf numFmtId="164" fontId="6" fillId="0" borderId="18" xfId="0" applyNumberFormat="1" applyFont="1" applyFill="1" applyBorder="1" applyAlignment="1" applyProtection="1">
      <alignment horizontal="center" vertical="top"/>
    </xf>
    <xf numFmtId="164" fontId="6" fillId="0" borderId="20" xfId="0" applyNumberFormat="1" applyFont="1" applyFill="1" applyBorder="1" applyAlignment="1" applyProtection="1">
      <alignment horizontal="center" vertical="top"/>
    </xf>
    <xf numFmtId="164" fontId="6" fillId="0" borderId="1" xfId="0" applyNumberFormat="1" applyFont="1" applyFill="1" applyBorder="1" applyAlignment="1" applyProtection="1">
      <alignment horizontal="center" vertical="top"/>
    </xf>
    <xf numFmtId="164" fontId="6" fillId="0" borderId="8" xfId="0" applyNumberFormat="1" applyFont="1" applyFill="1" applyBorder="1" applyAlignment="1" applyProtection="1">
      <alignment horizontal="center" vertical="top"/>
    </xf>
    <xf numFmtId="164" fontId="6" fillId="2" borderId="54" xfId="0" applyNumberFormat="1" applyFont="1" applyFill="1" applyBorder="1" applyAlignment="1" applyProtection="1">
      <alignment horizontal="center" vertical="top" wrapText="1"/>
    </xf>
    <xf numFmtId="164" fontId="6" fillId="2" borderId="53" xfId="0" applyNumberFormat="1" applyFont="1" applyFill="1" applyBorder="1" applyAlignment="1" applyProtection="1">
      <alignment horizontal="center" vertical="top" wrapText="1"/>
    </xf>
    <xf numFmtId="164" fontId="6" fillId="0" borderId="18" xfId="0" applyNumberFormat="1" applyFont="1" applyFill="1" applyBorder="1" applyAlignment="1" applyProtection="1">
      <alignment horizontal="center" vertical="top" wrapText="1"/>
    </xf>
    <xf numFmtId="164" fontId="6" fillId="0" borderId="20" xfId="0" applyNumberFormat="1" applyFont="1" applyFill="1" applyBorder="1" applyAlignment="1" applyProtection="1">
      <alignment horizontal="center" vertical="top" wrapText="1"/>
    </xf>
    <xf numFmtId="0" fontId="6" fillId="0" borderId="38" xfId="0" applyFont="1" applyFill="1" applyBorder="1" applyAlignment="1" applyProtection="1">
      <alignment horizontal="left" vertical="top" wrapText="1"/>
    </xf>
    <xf numFmtId="0" fontId="6" fillId="0" borderId="41" xfId="0" applyFont="1" applyFill="1" applyBorder="1" applyAlignment="1" applyProtection="1">
      <alignment horizontal="left" vertical="top" wrapText="1"/>
    </xf>
    <xf numFmtId="164" fontId="6" fillId="0" borderId="19" xfId="0" applyNumberFormat="1" applyFont="1" applyFill="1" applyBorder="1" applyAlignment="1" applyProtection="1">
      <alignment horizontal="center" vertical="top"/>
    </xf>
    <xf numFmtId="164" fontId="6" fillId="0" borderId="31" xfId="0" applyNumberFormat="1" applyFont="1" applyFill="1" applyBorder="1" applyAlignment="1" applyProtection="1">
      <alignment horizontal="center" vertical="top"/>
    </xf>
    <xf numFmtId="164" fontId="6" fillId="0" borderId="2" xfId="0" applyNumberFormat="1" applyFont="1" applyFill="1" applyBorder="1" applyAlignment="1" applyProtection="1">
      <alignment horizontal="center" vertical="top"/>
    </xf>
    <xf numFmtId="0" fontId="6" fillId="0" borderId="36" xfId="0" applyFont="1" applyFill="1" applyBorder="1" applyAlignment="1" applyProtection="1">
      <alignment horizontal="left" vertical="top" wrapText="1"/>
    </xf>
    <xf numFmtId="164" fontId="6" fillId="2" borderId="11" xfId="0" applyNumberFormat="1" applyFont="1" applyFill="1" applyBorder="1" applyAlignment="1" applyProtection="1">
      <alignment horizontal="center" vertical="top" wrapText="1"/>
    </xf>
    <xf numFmtId="164" fontId="6" fillId="0" borderId="1" xfId="0" applyNumberFormat="1" applyFont="1" applyFill="1" applyBorder="1" applyAlignment="1" applyProtection="1">
      <alignment horizontal="center" vertical="top" wrapText="1"/>
    </xf>
    <xf numFmtId="164" fontId="6" fillId="2" borderId="12" xfId="0" applyNumberFormat="1" applyFont="1" applyFill="1" applyBorder="1" applyAlignment="1" applyProtection="1">
      <alignment horizontal="center" vertical="top" wrapText="1"/>
    </xf>
    <xf numFmtId="164" fontId="6" fillId="0" borderId="3" xfId="0" applyNumberFormat="1" applyFont="1" applyFill="1" applyBorder="1" applyAlignment="1" applyProtection="1">
      <alignment horizontal="center" vertical="top" wrapText="1"/>
    </xf>
    <xf numFmtId="0" fontId="6" fillId="0" borderId="37" xfId="0" applyFont="1" applyFill="1" applyBorder="1" applyAlignment="1" applyProtection="1">
      <alignment horizontal="left" vertical="top" wrapText="1"/>
    </xf>
    <xf numFmtId="0" fontId="6" fillId="0" borderId="40" xfId="0" applyFont="1" applyFill="1" applyBorder="1" applyAlignment="1" applyProtection="1">
      <alignment horizontal="left" vertical="top" wrapText="1"/>
    </xf>
    <xf numFmtId="164" fontId="6" fillId="0" borderId="5" xfId="0" applyNumberFormat="1" applyFont="1" applyFill="1" applyBorder="1" applyAlignment="1" applyProtection="1">
      <alignment horizontal="center" vertical="top" wrapText="1"/>
    </xf>
    <xf numFmtId="164" fontId="6" fillId="2" borderId="13" xfId="0" applyNumberFormat="1" applyFont="1" applyFill="1" applyBorder="1" applyAlignment="1" applyProtection="1">
      <alignment horizontal="center" vertical="top" wrapText="1"/>
    </xf>
    <xf numFmtId="164" fontId="6" fillId="0" borderId="9" xfId="0" applyNumberFormat="1" applyFont="1" applyFill="1" applyBorder="1" applyAlignment="1" applyProtection="1">
      <alignment horizontal="center" vertical="top"/>
    </xf>
    <xf numFmtId="0" fontId="6" fillId="0" borderId="44" xfId="0" applyFont="1" applyFill="1" applyBorder="1" applyAlignment="1" applyProtection="1">
      <alignment horizontal="left" vertical="top" wrapText="1"/>
    </xf>
    <xf numFmtId="164" fontId="6" fillId="2" borderId="15" xfId="0" applyNumberFormat="1" applyFont="1" applyFill="1" applyBorder="1" applyAlignment="1" applyProtection="1">
      <alignment horizontal="center" vertical="top" wrapText="1"/>
    </xf>
    <xf numFmtId="164" fontId="6" fillId="0" borderId="8" xfId="0" applyNumberFormat="1" applyFont="1" applyFill="1" applyBorder="1" applyAlignment="1" applyProtection="1">
      <alignment horizontal="center" vertical="top" wrapText="1"/>
    </xf>
    <xf numFmtId="164" fontId="6" fillId="2" borderId="22" xfId="0" applyNumberFormat="1" applyFont="1" applyFill="1" applyBorder="1" applyAlignment="1" applyProtection="1">
      <alignment horizontal="center" vertical="top" wrapText="1"/>
    </xf>
    <xf numFmtId="164" fontId="6" fillId="2" borderId="32" xfId="0" applyNumberFormat="1" applyFont="1" applyFill="1" applyBorder="1" applyAlignment="1" applyProtection="1">
      <alignment horizontal="center" vertical="top" wrapText="1"/>
    </xf>
    <xf numFmtId="0" fontId="6" fillId="0" borderId="38" xfId="0" applyFont="1" applyFill="1" applyBorder="1" applyAlignment="1" applyProtection="1">
      <alignment horizontal="center" vertical="top" wrapText="1"/>
    </xf>
    <xf numFmtId="0" fontId="6" fillId="0" borderId="45" xfId="0" applyFont="1" applyFill="1" applyBorder="1" applyAlignment="1" applyProtection="1">
      <alignment horizontal="center" vertical="top" wrapText="1"/>
    </xf>
    <xf numFmtId="0" fontId="6" fillId="0" borderId="41" xfId="0" applyFont="1" applyFill="1" applyBorder="1" applyAlignment="1" applyProtection="1">
      <alignment horizontal="center" vertical="top" wrapText="1"/>
    </xf>
    <xf numFmtId="0" fontId="6" fillId="0" borderId="0" xfId="0" applyFont="1" applyAlignment="1" applyProtection="1">
      <alignment horizontal="left" vertical="top" wrapText="1"/>
    </xf>
    <xf numFmtId="0" fontId="7" fillId="3" borderId="7" xfId="0" applyFont="1" applyFill="1" applyBorder="1" applyAlignment="1" applyProtection="1">
      <alignment horizontal="left" vertical="center" wrapText="1"/>
    </xf>
    <xf numFmtId="0" fontId="6" fillId="0" borderId="56" xfId="0" applyFont="1" applyFill="1" applyBorder="1" applyAlignment="1" applyProtection="1">
      <alignment horizontal="center" vertical="top" wrapText="1"/>
    </xf>
  </cellXfs>
  <cellStyles count="21">
    <cellStyle name="Comma 2" xfId="8"/>
    <cellStyle name="Hyperlink" xfId="1" builtinId="8"/>
    <cellStyle name="Hyperlink 2" xfId="2"/>
    <cellStyle name="Normal" xfId="0" builtinId="0"/>
    <cellStyle name="Normal 2" xfId="3"/>
    <cellStyle name="Normal 2 2" xfId="9"/>
    <cellStyle name="Normal 3" xfId="7"/>
    <cellStyle name="Normal 3 2" xfId="10"/>
    <cellStyle name="Normal 4" xfId="11"/>
    <cellStyle name="Normal 4 2" xfId="12"/>
    <cellStyle name="Normal 4 3" xfId="13"/>
    <cellStyle name="Normal 5" xfId="14"/>
    <cellStyle name="Normal 6" xfId="15"/>
    <cellStyle name="Normal 7" xfId="16"/>
    <cellStyle name="Percent" xfId="4" builtinId="5"/>
    <cellStyle name="Percent 2" xfId="5"/>
    <cellStyle name="Percent 3" xfId="6"/>
    <cellStyle name="Percent 3 2" xfId="17"/>
    <cellStyle name="Percent 4" xfId="18"/>
    <cellStyle name="Percent 4 2" xfId="19"/>
    <cellStyle name="Percent 4 3" xfId="20"/>
  </cellStyles>
  <dxfs count="0"/>
  <tableStyles count="0" defaultTableStyle="TableStyleMedium9" defaultPivotStyle="PivotStyleLight16"/>
  <colors>
    <mruColors>
      <color rgb="FFFEFDE8"/>
      <color rgb="FFFDFBCF"/>
      <color rgb="FF0000FF"/>
    </mruColors>
  </colors>
</styleSheet>
</file>

<file path=xl/_rels/workbook.xml.rels><?xml version="1.0" encoding="UTF-8"?>

<Relationships xmlns="http://schemas.openxmlformats.org/package/2006/relationships">
  <Relationship Id="rId1" Type="http://schemas.openxmlformats.org/officeDocument/2006/relationships/worksheet" Target="worksheets/sheet1.xml"/>
  <Relationship Id="rId10" Type="http://schemas.openxmlformats.org/officeDocument/2006/relationships/sharedStrings" Target="sharedStrings.xml"/>
  <Relationship Id="rId11" Type="http://schemas.openxmlformats.org/officeDocument/2006/relationships/calcChain" Target="calcChain.xml"/>
  <Relationship Id="rId12" Type="http://schemas.openxmlformats.org/officeDocument/2006/relationships/customXml" Target="../customXml/item1.xml"/>
  <Relationship Id="rId13" Type="http://schemas.openxmlformats.org/officeDocument/2006/relationships/customXml" Target="../customXml/item2.xml"/>
  <Relationship Id="rId14" Type="http://schemas.openxmlformats.org/officeDocument/2006/relationships/customXml" Target="../customXml/item3.xml"/>
  <Relationship Id="rId15" Type="http://schemas.openxmlformats.org/officeDocument/2006/relationships/customXml" Target="../customXml/item4.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externalLink" Target="externalLinks/externalLink1.xml"/>
  <Relationship Id="rId8" Type="http://schemas.openxmlformats.org/officeDocument/2006/relationships/theme" Target="theme/theme1.xml"/>
  <Relationship Id="rId9" Type="http://schemas.openxmlformats.org/officeDocument/2006/relationships/styles" Target="styles.xml"/>
</Relationships>

</file>

<file path=xl/externalLinks/_rels/externalLink1.xml.rels><?xml version="1.0" encoding="UTF-8"?>

<Relationships xmlns="http://schemas.openxmlformats.org/package/2006/relationships">
  <Relationship Id="rId1" Type="http://schemas.openxmlformats.org/officeDocument/2006/relationships/externalLinkPath" TargetMode="External" Target="/Users/crc/AppData/Local/Microsoft/Windows/Temporary%20Internet%20Files/Content.Outlook/R2R0GZMV/MAGs%20Workbook_FINAL_December%202013%20Edited%20CAW%201-15.xlsx"/>
</Relationships>

</file>

<file path=xl/externalLinks/externalLink1.xml><?xml version="1.0" encoding="utf-8"?>
<externalLink xmlns="http://schemas.openxmlformats.org/spreadsheetml/2006/main">
  <externalBook xmlns:r="http://schemas.openxmlformats.org/officeDocument/2006/relationships" r:id="rId1">
    <sheetNames>
      <sheetName val="Table of contents"/>
      <sheetName val="Student achievement"/>
      <sheetName val="College readiness"/>
      <sheetName val="District-defined measures"/>
      <sheetName val="Data"/>
      <sheetName val="Sheet2"/>
      <sheetName val="Sheet3"/>
    </sheetNames>
    <sheetDataSet>
      <sheetData sheetId="0">
        <row r="3">
          <cell r="C3" t="str">
            <v>New Bedford - John Avery Parker (02010115)</v>
          </cell>
          <cell r="D3" t="str">
            <v>02010115</v>
          </cell>
        </row>
      </sheetData>
      <sheetData sheetId="1"/>
      <sheetData sheetId="2"/>
      <sheetData sheetId="3"/>
      <sheetData sheetId="4">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row>
        <row r="2">
          <cell r="A2" t="str">
            <v>Select_Group</v>
          </cell>
          <cell r="B2" t="str">
            <v>School code plus group</v>
          </cell>
          <cell r="C2" t="str">
            <v>system</v>
          </cell>
          <cell r="D2" t="str">
            <v>School code</v>
          </cell>
          <cell r="E2" t="str">
            <v>District</v>
          </cell>
          <cell r="F2" t="str">
            <v>School name</v>
          </cell>
          <cell r="G2" t="str">
            <v>School type</v>
          </cell>
          <cell r="H2" t="str">
            <v>Select_School</v>
          </cell>
          <cell r="I2" t="str">
            <v>Group</v>
          </cell>
          <cell r="J2" t="str">
            <v>Select_Group</v>
          </cell>
          <cell r="K2" t="str">
            <v>MA_Status11</v>
          </cell>
          <cell r="L2" t="str">
            <v>ELA baseline</v>
          </cell>
          <cell r="M2" t="str">
            <v>ELA target 2012</v>
          </cell>
          <cell r="N2" t="str">
            <v>ELA CPI 2012</v>
          </cell>
          <cell r="O2" t="str">
            <v>ELA target 2013</v>
          </cell>
          <cell r="P2" t="str">
            <v>ELA CPI 2013</v>
          </cell>
          <cell r="Q2" t="str">
            <v>ELA target 2014</v>
          </cell>
          <cell r="R2" t="str">
            <v>ELA target 2015</v>
          </cell>
          <cell r="S2" t="str">
            <v>ELA target 2016</v>
          </cell>
          <cell r="T2" t="str">
            <v>ELA target 2017</v>
          </cell>
          <cell r="U2" t="str">
            <v>Math baseline</v>
          </cell>
          <cell r="V2" t="str">
            <v>Math Target 2012</v>
          </cell>
          <cell r="W2" t="str">
            <v>Math CPI 2012</v>
          </cell>
          <cell r="X2" t="str">
            <v>Math Target 2013</v>
          </cell>
          <cell r="Y2" t="str">
            <v>Math CPI 2013</v>
          </cell>
          <cell r="Z2" t="str">
            <v>Math Target 2014</v>
          </cell>
          <cell r="AA2" t="str">
            <v>Math Target 2015</v>
          </cell>
          <cell r="AB2" t="str">
            <v>Math Target 2016</v>
          </cell>
          <cell r="AC2" t="str">
            <v>Math Target 2017</v>
          </cell>
          <cell r="AD2" t="str">
            <v>Science baseline</v>
          </cell>
          <cell r="AE2" t="str">
            <v>Science target 2012</v>
          </cell>
          <cell r="AF2" t="str">
            <v>Science CPI 2012</v>
          </cell>
          <cell r="AG2" t="str">
            <v>Science target 2013</v>
          </cell>
          <cell r="AH2" t="str">
            <v>Science CPI 2013</v>
          </cell>
          <cell r="AI2" t="str">
            <v>Science target 2014</v>
          </cell>
          <cell r="AJ2" t="str">
            <v>Science target 2015</v>
          </cell>
          <cell r="AK2" t="str">
            <v>Science target 2016</v>
          </cell>
          <cell r="AL2" t="str">
            <v>Science target 2017</v>
          </cell>
          <cell r="AM2" t="str">
            <v>4-yr grad rate baseline</v>
          </cell>
          <cell r="AN2" t="str">
            <v>4-yr grad rate target 2012</v>
          </cell>
          <cell r="AO2" t="str">
            <v>2011 4-yr grad rate</v>
          </cell>
          <cell r="AP2" t="str">
            <v>4-yr grad rate target 2013</v>
          </cell>
          <cell r="AQ2" t="str">
            <v>2012 4-yr grad rate</v>
          </cell>
          <cell r="AR2" t="str">
            <v>4-yr grad rate target 2014</v>
          </cell>
          <cell r="AS2" t="str">
            <v>4-yr grad rate target 2015</v>
          </cell>
          <cell r="AT2" t="str">
            <v>4-yr grad rate target 2016</v>
          </cell>
          <cell r="AU2" t="str">
            <v>4-yr grad rate target 2017</v>
          </cell>
          <cell r="AV2" t="str">
            <v>5-yr grad rate baseline</v>
          </cell>
          <cell r="AW2" t="str">
            <v>5-yr grad rate target 2012</v>
          </cell>
          <cell r="AX2" t="str">
            <v>2010 5-yr grad rate</v>
          </cell>
          <cell r="AY2" t="str">
            <v>5-yr grad rate target 2013</v>
          </cell>
          <cell r="AZ2" t="str">
            <v>2011 5-yr grad rate</v>
          </cell>
          <cell r="BA2" t="str">
            <v>5-yr grad rate target 2014</v>
          </cell>
          <cell r="BB2" t="str">
            <v>5-yr grad rate target 2015</v>
          </cell>
          <cell r="BC2" t="str">
            <v>5-yr grad rate target 2016</v>
          </cell>
          <cell r="BD2" t="str">
            <v>5-yr grad rate target 2017</v>
          </cell>
          <cell r="BE2" t="str">
            <v>Dropout rate baseline</v>
          </cell>
          <cell r="BF2" t="str">
            <v>Dropout rate target 2012</v>
          </cell>
          <cell r="BG2" t="str">
            <v>2011 Dropout rate</v>
          </cell>
          <cell r="BH2" t="str">
            <v>Dropout rate target 2013</v>
          </cell>
          <cell r="BI2" t="str">
            <v>2012 Dropout rate</v>
          </cell>
          <cell r="BJ2" t="str">
            <v>Dropout rate target 2014</v>
          </cell>
          <cell r="BK2" t="str">
            <v>Dropout rate target 2015</v>
          </cell>
          <cell r="BL2" t="str">
            <v>Dropout rate target 2016</v>
          </cell>
          <cell r="BM2" t="str">
            <v>Dropout rate target 2017</v>
          </cell>
          <cell r="BN2" t="str">
            <v>ELA SGP baseline</v>
          </cell>
          <cell r="BO2" t="str">
            <v>ELA SGP target 2012</v>
          </cell>
          <cell r="BP2" t="str">
            <v>ELA SGP 2012</v>
          </cell>
          <cell r="BQ2" t="str">
            <v>ELA SGP target 2013</v>
          </cell>
          <cell r="BR2" t="str">
            <v>ELA SGP 2013</v>
          </cell>
          <cell r="BS2" t="str">
            <v>ELA SGP target 2014</v>
          </cell>
          <cell r="BT2" t="str">
            <v>ELA SGP target 2015</v>
          </cell>
          <cell r="BU2" t="str">
            <v>ELA SGP target 2016</v>
          </cell>
          <cell r="BV2" t="str">
            <v>ELA SGP target 2017</v>
          </cell>
          <cell r="BW2" t="str">
            <v>Math SGP baseline</v>
          </cell>
          <cell r="BX2" t="str">
            <v>Math SGP target 2012</v>
          </cell>
          <cell r="BY2" t="str">
            <v>Math SGP 2012</v>
          </cell>
          <cell r="BZ2" t="str">
            <v>Math SGP target 2013</v>
          </cell>
          <cell r="CA2" t="str">
            <v>Math SGP 2013</v>
          </cell>
          <cell r="CB2" t="str">
            <v>Math SGP target 2014</v>
          </cell>
          <cell r="CC2" t="str">
            <v>Math SGP target 2015</v>
          </cell>
          <cell r="CD2" t="str">
            <v>Math SGP target 2016</v>
          </cell>
          <cell r="CE2" t="str">
            <v>Math SGP target 2017</v>
          </cell>
          <cell r="CF2" t="str">
            <v>ELA W/F % 2011</v>
          </cell>
          <cell r="CG2" t="str">
            <v>ELA W/F % target 2012</v>
          </cell>
          <cell r="CH2" t="str">
            <v>ELA W/F % 2012</v>
          </cell>
          <cell r="CI2" t="str">
            <v>ELA W/F % target 2013</v>
          </cell>
          <cell r="CJ2" t="str">
            <v>ELA W/F % 2013</v>
          </cell>
          <cell r="CK2" t="str">
            <v>ELA W/F % target 2014</v>
          </cell>
          <cell r="CL2" t="str">
            <v>ELA W/F % target 2015</v>
          </cell>
          <cell r="CM2" t="str">
            <v>ELA W/F % target 2016</v>
          </cell>
          <cell r="CN2" t="str">
            <v>ELA W/F % target 2017</v>
          </cell>
          <cell r="CO2" t="str">
            <v>Math W/F % 2011</v>
          </cell>
          <cell r="CP2" t="str">
            <v>Math W/F % target 2012</v>
          </cell>
          <cell r="CQ2" t="str">
            <v>Math W/F % 2012</v>
          </cell>
          <cell r="CR2" t="str">
            <v>Math W/F % target 2013</v>
          </cell>
          <cell r="CS2" t="str">
            <v>Math W/F % 2013</v>
          </cell>
          <cell r="CT2" t="str">
            <v>Math W/F % target 2014</v>
          </cell>
          <cell r="CU2" t="str">
            <v>Math W/F % target 2015</v>
          </cell>
          <cell r="CV2" t="str">
            <v>Math W/F % target 2016</v>
          </cell>
          <cell r="CW2" t="str">
            <v>Math W/F % target 2017</v>
          </cell>
          <cell r="CX2" t="str">
            <v>Science W/F % 2011</v>
          </cell>
          <cell r="CY2" t="str">
            <v>Science W/F % target 2012</v>
          </cell>
          <cell r="CZ2" t="str">
            <v>Science W/F % 2012</v>
          </cell>
          <cell r="DA2" t="str">
            <v>Science W/F % target 2013</v>
          </cell>
          <cell r="DB2" t="str">
            <v>Science W/F % 2013</v>
          </cell>
          <cell r="DC2" t="str">
            <v>Science W/F % target 2014</v>
          </cell>
          <cell r="DD2" t="str">
            <v>Science W/F % target 2015</v>
          </cell>
          <cell r="DE2" t="str">
            <v>Science W/F % target 2016</v>
          </cell>
          <cell r="DF2" t="str">
            <v>Science W/F % target 2017</v>
          </cell>
          <cell r="DG2" t="str">
            <v>ELA Adv % 2011</v>
          </cell>
          <cell r="DH2" t="str">
            <v>ELA Adv % target 2012</v>
          </cell>
          <cell r="DI2" t="str">
            <v>ELA Adv % 2012</v>
          </cell>
          <cell r="DJ2" t="str">
            <v>ELA Adv % target 2013</v>
          </cell>
          <cell r="DK2" t="str">
            <v>ELA Adv % 2013</v>
          </cell>
          <cell r="DL2" t="str">
            <v>ELA Adv % target 2014</v>
          </cell>
          <cell r="DM2" t="str">
            <v>ELA Adv % target 2015</v>
          </cell>
          <cell r="DN2" t="str">
            <v>ELA Adv % target 2016</v>
          </cell>
          <cell r="DO2" t="str">
            <v>ELA Adv % target 2017</v>
          </cell>
          <cell r="DP2" t="str">
            <v>Math Adv % 2011</v>
          </cell>
          <cell r="DQ2" t="str">
            <v>Math Adv % target 2012</v>
          </cell>
          <cell r="DR2" t="str">
            <v>Math Adv % 2012</v>
          </cell>
          <cell r="DS2" t="str">
            <v>Math Adv % target 2013</v>
          </cell>
          <cell r="DT2" t="str">
            <v>Math Adv % 2013</v>
          </cell>
          <cell r="DU2" t="str">
            <v>Math Adv % target 2014</v>
          </cell>
          <cell r="DV2" t="str">
            <v>Math Adv % target 2015</v>
          </cell>
          <cell r="DW2" t="str">
            <v>Math Adv % target 2016</v>
          </cell>
          <cell r="DX2" t="str">
            <v>Math Adv % target 2017</v>
          </cell>
          <cell r="DY2" t="str">
            <v>Science Adv % 2011</v>
          </cell>
          <cell r="DZ2" t="str">
            <v>Science Adv % target 2012</v>
          </cell>
          <cell r="EA2" t="str">
            <v>Science Adv % 2012</v>
          </cell>
          <cell r="EB2" t="str">
            <v>Science Adv % target 2013</v>
          </cell>
          <cell r="EC2" t="str">
            <v>Science Adv % 2013</v>
          </cell>
          <cell r="ED2" t="str">
            <v>Science Adv % target 2014</v>
          </cell>
          <cell r="EE2" t="str">
            <v>Science Adv % target 2015</v>
          </cell>
          <cell r="EF2" t="str">
            <v>Science Adv % target 2016</v>
          </cell>
          <cell r="EG2" t="str">
            <v>Science Adv % target 2017</v>
          </cell>
        </row>
        <row r="3">
          <cell r="A3" t="str">
            <v>00350074Asian</v>
          </cell>
          <cell r="B3" t="str">
            <v>00350074A</v>
          </cell>
          <cell r="C3" t="str">
            <v>0035</v>
          </cell>
          <cell r="D3" t="str">
            <v>00350074</v>
          </cell>
          <cell r="E3" t="str">
            <v>Boston</v>
          </cell>
          <cell r="F3" t="str">
            <v>Dearborn</v>
          </cell>
          <cell r="G3" t="str">
            <v>MS</v>
          </cell>
          <cell r="H3" t="str">
            <v>Boston - Dearborn (00350074)</v>
          </cell>
          <cell r="I3" t="str">
            <v>Asian</v>
          </cell>
          <cell r="J3" t="str">
            <v>00350074Asian</v>
          </cell>
          <cell r="K3" t="str">
            <v>--</v>
          </cell>
          <cell r="L3" t="str">
            <v>--</v>
          </cell>
          <cell r="M3" t="str">
            <v>--</v>
          </cell>
          <cell r="N3" t="str">
            <v>--</v>
          </cell>
          <cell r="O3" t="str">
            <v>--</v>
          </cell>
          <cell r="P3" t="str">
            <v>--</v>
          </cell>
          <cell r="Q3" t="str">
            <v>--</v>
          </cell>
          <cell r="R3" t="str">
            <v>--</v>
          </cell>
          <cell r="S3" t="str">
            <v>--</v>
          </cell>
          <cell r="T3" t="str">
            <v>--</v>
          </cell>
          <cell r="U3" t="str">
            <v>--</v>
          </cell>
          <cell r="V3" t="str">
            <v>--</v>
          </cell>
          <cell r="W3" t="str">
            <v>--</v>
          </cell>
          <cell r="X3" t="str">
            <v>--</v>
          </cell>
          <cell r="Y3" t="str">
            <v>--</v>
          </cell>
          <cell r="Z3" t="str">
            <v>--</v>
          </cell>
          <cell r="AA3" t="str">
            <v>--</v>
          </cell>
          <cell r="AB3" t="str">
            <v>--</v>
          </cell>
          <cell r="AC3" t="str">
            <v>--</v>
          </cell>
          <cell r="AD3" t="str">
            <v>--</v>
          </cell>
          <cell r="AE3" t="str">
            <v>--</v>
          </cell>
          <cell r="AF3" t="str">
            <v>--</v>
          </cell>
          <cell r="AG3" t="str">
            <v>--</v>
          </cell>
          <cell r="AH3" t="str">
            <v>--</v>
          </cell>
          <cell r="AI3" t="str">
            <v>--</v>
          </cell>
          <cell r="AJ3" t="str">
            <v>--</v>
          </cell>
          <cell r="AK3" t="str">
            <v>--</v>
          </cell>
          <cell r="AL3" t="str">
            <v>--</v>
          </cell>
          <cell r="AM3" t="str">
            <v>--</v>
          </cell>
          <cell r="AN3" t="str">
            <v>--</v>
          </cell>
          <cell r="AO3" t="str">
            <v>--</v>
          </cell>
          <cell r="AP3" t="str">
            <v>--</v>
          </cell>
          <cell r="AQ3" t="str">
            <v>--</v>
          </cell>
          <cell r="AR3" t="str">
            <v>--</v>
          </cell>
          <cell r="AS3" t="str">
            <v>--</v>
          </cell>
          <cell r="AT3" t="str">
            <v>--</v>
          </cell>
          <cell r="AU3" t="str">
            <v>--</v>
          </cell>
          <cell r="AV3" t="str">
            <v>--</v>
          </cell>
          <cell r="AW3" t="str">
            <v>--</v>
          </cell>
          <cell r="AX3" t="str">
            <v>--</v>
          </cell>
          <cell r="AY3" t="str">
            <v>--</v>
          </cell>
          <cell r="AZ3" t="str">
            <v>--</v>
          </cell>
          <cell r="BA3" t="str">
            <v>--</v>
          </cell>
          <cell r="BB3" t="str">
            <v>--</v>
          </cell>
          <cell r="BC3" t="str">
            <v>--</v>
          </cell>
          <cell r="BD3" t="str">
            <v>--</v>
          </cell>
          <cell r="BE3" t="str">
            <v>--</v>
          </cell>
          <cell r="BF3" t="str">
            <v>--</v>
          </cell>
          <cell r="BG3" t="str">
            <v>--</v>
          </cell>
          <cell r="BH3" t="str">
            <v>--</v>
          </cell>
          <cell r="BI3" t="str">
            <v>--</v>
          </cell>
          <cell r="BJ3" t="str">
            <v>--</v>
          </cell>
          <cell r="BK3" t="str">
            <v>--</v>
          </cell>
          <cell r="BL3" t="str">
            <v>--</v>
          </cell>
          <cell r="BM3" t="str">
            <v>--</v>
          </cell>
          <cell r="BN3" t="str">
            <v>--</v>
          </cell>
          <cell r="BO3" t="str">
            <v>--</v>
          </cell>
          <cell r="BP3" t="str">
            <v>--</v>
          </cell>
          <cell r="BQ3" t="str">
            <v>--</v>
          </cell>
          <cell r="BR3" t="str">
            <v>--</v>
          </cell>
          <cell r="BS3" t="str">
            <v>--</v>
          </cell>
          <cell r="BT3" t="str">
            <v>--</v>
          </cell>
          <cell r="BU3" t="str">
            <v>--</v>
          </cell>
          <cell r="BV3" t="str">
            <v>--</v>
          </cell>
          <cell r="BW3" t="str">
            <v>--</v>
          </cell>
          <cell r="BX3" t="str">
            <v>--</v>
          </cell>
          <cell r="BY3" t="str">
            <v>--</v>
          </cell>
          <cell r="BZ3" t="str">
            <v>--</v>
          </cell>
          <cell r="CA3" t="str">
            <v>--</v>
          </cell>
          <cell r="CB3" t="str">
            <v>--</v>
          </cell>
          <cell r="CC3" t="str">
            <v>--</v>
          </cell>
          <cell r="CD3" t="str">
            <v>--</v>
          </cell>
          <cell r="CE3" t="str">
            <v>--</v>
          </cell>
          <cell r="CF3" t="str">
            <v>--</v>
          </cell>
          <cell r="CG3" t="str">
            <v>--</v>
          </cell>
          <cell r="CH3" t="str">
            <v>--</v>
          </cell>
          <cell r="CI3" t="str">
            <v>--</v>
          </cell>
          <cell r="CJ3" t="str">
            <v>--</v>
          </cell>
          <cell r="CK3" t="str">
            <v>--</v>
          </cell>
          <cell r="CL3" t="str">
            <v>--</v>
          </cell>
          <cell r="CM3" t="str">
            <v>--</v>
          </cell>
          <cell r="CN3" t="str">
            <v>--</v>
          </cell>
          <cell r="CO3" t="str">
            <v>--</v>
          </cell>
          <cell r="CP3" t="str">
            <v>--</v>
          </cell>
          <cell r="CQ3" t="str">
            <v>--</v>
          </cell>
          <cell r="CR3" t="str">
            <v>--</v>
          </cell>
          <cell r="CS3" t="str">
            <v>--</v>
          </cell>
          <cell r="CT3" t="str">
            <v>--</v>
          </cell>
          <cell r="CU3" t="str">
            <v>--</v>
          </cell>
          <cell r="CV3" t="str">
            <v>--</v>
          </cell>
          <cell r="CW3" t="str">
            <v>--</v>
          </cell>
          <cell r="CX3" t="str">
            <v>--</v>
          </cell>
          <cell r="CY3" t="str">
            <v>--</v>
          </cell>
          <cell r="CZ3" t="str">
            <v>--</v>
          </cell>
          <cell r="DA3" t="str">
            <v>--</v>
          </cell>
          <cell r="DB3" t="str">
            <v>--</v>
          </cell>
          <cell r="DC3" t="str">
            <v>--</v>
          </cell>
          <cell r="DD3" t="str">
            <v>--</v>
          </cell>
          <cell r="DE3" t="str">
            <v>--</v>
          </cell>
          <cell r="DF3" t="str">
            <v>--</v>
          </cell>
          <cell r="DG3" t="str">
            <v>--</v>
          </cell>
          <cell r="DH3" t="str">
            <v>--</v>
          </cell>
          <cell r="DI3" t="str">
            <v>--</v>
          </cell>
          <cell r="DJ3" t="str">
            <v>--</v>
          </cell>
          <cell r="DK3" t="str">
            <v>--</v>
          </cell>
          <cell r="DL3" t="str">
            <v>--</v>
          </cell>
          <cell r="DM3" t="str">
            <v>--</v>
          </cell>
          <cell r="DN3" t="str">
            <v>--</v>
          </cell>
          <cell r="DO3" t="str">
            <v>--</v>
          </cell>
          <cell r="DP3" t="str">
            <v>--</v>
          </cell>
          <cell r="DQ3" t="str">
            <v>--</v>
          </cell>
          <cell r="DR3" t="str">
            <v>--</v>
          </cell>
          <cell r="DS3" t="str">
            <v>--</v>
          </cell>
          <cell r="DT3" t="str">
            <v>--</v>
          </cell>
          <cell r="DU3" t="str">
            <v>--</v>
          </cell>
          <cell r="DV3" t="str">
            <v>--</v>
          </cell>
          <cell r="DW3" t="str">
            <v>--</v>
          </cell>
          <cell r="DX3" t="str">
            <v>--</v>
          </cell>
          <cell r="DY3" t="str">
            <v>--</v>
          </cell>
          <cell r="DZ3" t="str">
            <v>--</v>
          </cell>
          <cell r="EA3" t="str">
            <v>--</v>
          </cell>
          <cell r="EB3" t="str">
            <v>--</v>
          </cell>
          <cell r="EC3" t="str">
            <v>--</v>
          </cell>
          <cell r="ED3" t="str">
            <v>--</v>
          </cell>
          <cell r="EE3" t="str">
            <v>--</v>
          </cell>
          <cell r="EF3" t="str">
            <v>--</v>
          </cell>
          <cell r="EG3" t="str">
            <v>--</v>
          </cell>
        </row>
        <row r="4">
          <cell r="A4" t="str">
            <v>00350074Afr. Amer/Black</v>
          </cell>
          <cell r="B4" t="str">
            <v>00350074B</v>
          </cell>
          <cell r="C4" t="str">
            <v>0035</v>
          </cell>
          <cell r="D4" t="str">
            <v>00350074</v>
          </cell>
          <cell r="E4" t="str">
            <v>Boston</v>
          </cell>
          <cell r="F4" t="str">
            <v>Dearborn</v>
          </cell>
          <cell r="G4" t="str">
            <v>MS</v>
          </cell>
          <cell r="H4" t="str">
            <v>Boston - Dearborn (00350074)</v>
          </cell>
          <cell r="I4" t="str">
            <v>Afr. Amer/Black</v>
          </cell>
          <cell r="J4" t="str">
            <v>00350074Afr. Amer/Black</v>
          </cell>
          <cell r="K4" t="str">
            <v>--</v>
          </cell>
          <cell r="L4">
            <v>59.9</v>
          </cell>
          <cell r="M4">
            <v>63.2</v>
          </cell>
          <cell r="N4">
            <v>51.8</v>
          </cell>
          <cell r="O4">
            <v>66.599999999999994</v>
          </cell>
          <cell r="P4">
            <v>58</v>
          </cell>
          <cell r="Q4">
            <v>71.2</v>
          </cell>
          <cell r="R4">
            <v>74.599999999999994</v>
          </cell>
          <cell r="S4">
            <v>77.900000000000006</v>
          </cell>
          <cell r="T4">
            <v>81.3</v>
          </cell>
          <cell r="U4">
            <v>48.2</v>
          </cell>
          <cell r="V4">
            <v>52.5</v>
          </cell>
          <cell r="W4">
            <v>44.9</v>
          </cell>
          <cell r="X4">
            <v>56.8</v>
          </cell>
          <cell r="Y4">
            <v>49.4</v>
          </cell>
          <cell r="Z4">
            <v>62.5</v>
          </cell>
          <cell r="AA4">
            <v>66.8</v>
          </cell>
          <cell r="AB4">
            <v>71.099999999999994</v>
          </cell>
          <cell r="AC4">
            <v>75.400000000000006</v>
          </cell>
          <cell r="AD4">
            <v>35.9</v>
          </cell>
          <cell r="AE4">
            <v>41.2</v>
          </cell>
          <cell r="AF4">
            <v>26.8</v>
          </cell>
          <cell r="AG4">
            <v>46.6</v>
          </cell>
          <cell r="AH4">
            <v>28.4</v>
          </cell>
          <cell r="AI4">
            <v>53.2</v>
          </cell>
          <cell r="AJ4">
            <v>58.6</v>
          </cell>
          <cell r="AK4">
            <v>63.9</v>
          </cell>
          <cell r="AL4">
            <v>69.3</v>
          </cell>
          <cell r="AM4" t="str">
            <v>--</v>
          </cell>
          <cell r="AN4" t="str">
            <v>--</v>
          </cell>
          <cell r="AO4" t="str">
            <v>--</v>
          </cell>
          <cell r="AP4" t="str">
            <v>--</v>
          </cell>
          <cell r="AQ4" t="str">
            <v>--</v>
          </cell>
          <cell r="AR4" t="str">
            <v>--</v>
          </cell>
          <cell r="AS4" t="str">
            <v>--</v>
          </cell>
          <cell r="AT4" t="str">
            <v>--</v>
          </cell>
          <cell r="AU4" t="str">
            <v>--</v>
          </cell>
          <cell r="AV4" t="str">
            <v>--</v>
          </cell>
          <cell r="AW4" t="str">
            <v>--</v>
          </cell>
          <cell r="AX4" t="str">
            <v>--</v>
          </cell>
          <cell r="AY4" t="str">
            <v>--</v>
          </cell>
          <cell r="AZ4" t="str">
            <v>--</v>
          </cell>
          <cell r="BA4" t="str">
            <v>--</v>
          </cell>
          <cell r="BB4" t="str">
            <v>--</v>
          </cell>
          <cell r="BC4" t="str">
            <v>--</v>
          </cell>
          <cell r="BD4" t="str">
            <v>--</v>
          </cell>
          <cell r="BE4" t="str">
            <v>--</v>
          </cell>
          <cell r="BF4" t="str">
            <v>--</v>
          </cell>
          <cell r="BG4" t="str">
            <v>--</v>
          </cell>
          <cell r="BH4" t="str">
            <v>--</v>
          </cell>
          <cell r="BI4" t="str">
            <v>--</v>
          </cell>
          <cell r="BJ4" t="str">
            <v>--</v>
          </cell>
          <cell r="BK4" t="str">
            <v>--</v>
          </cell>
          <cell r="BL4" t="str">
            <v>--</v>
          </cell>
          <cell r="BM4" t="str">
            <v>--</v>
          </cell>
          <cell r="BN4">
            <v>55</v>
          </cell>
          <cell r="BO4">
            <v>51</v>
          </cell>
          <cell r="BP4">
            <v>46</v>
          </cell>
          <cell r="BQ4">
            <v>51</v>
          </cell>
          <cell r="BR4">
            <v>53.5</v>
          </cell>
          <cell r="BS4">
            <v>60</v>
          </cell>
          <cell r="BT4">
            <v>60</v>
          </cell>
          <cell r="BU4">
            <v>60</v>
          </cell>
          <cell r="BV4">
            <v>60</v>
          </cell>
          <cell r="BW4">
            <v>60</v>
          </cell>
          <cell r="BX4">
            <v>51</v>
          </cell>
          <cell r="BY4">
            <v>47.5</v>
          </cell>
          <cell r="BZ4">
            <v>51</v>
          </cell>
          <cell r="CA4">
            <v>52</v>
          </cell>
          <cell r="CB4">
            <v>60</v>
          </cell>
          <cell r="CC4">
            <v>60</v>
          </cell>
          <cell r="CD4">
            <v>60</v>
          </cell>
          <cell r="CE4">
            <v>60</v>
          </cell>
          <cell r="CF4">
            <v>29.6</v>
          </cell>
          <cell r="CG4">
            <v>26.6</v>
          </cell>
          <cell r="CH4">
            <v>41.4</v>
          </cell>
          <cell r="CI4">
            <v>37.299999999999997</v>
          </cell>
          <cell r="CJ4">
            <v>35.299999999999997</v>
          </cell>
          <cell r="CK4">
            <v>31.8</v>
          </cell>
          <cell r="CL4">
            <v>28.6</v>
          </cell>
          <cell r="CM4">
            <v>25.7</v>
          </cell>
          <cell r="CN4">
            <v>23.2</v>
          </cell>
          <cell r="CO4">
            <v>48.9</v>
          </cell>
          <cell r="CP4">
            <v>44</v>
          </cell>
          <cell r="CQ4">
            <v>55.3</v>
          </cell>
          <cell r="CR4">
            <v>49.8</v>
          </cell>
          <cell r="CS4">
            <v>50</v>
          </cell>
          <cell r="CT4">
            <v>45</v>
          </cell>
          <cell r="CU4">
            <v>40.5</v>
          </cell>
          <cell r="CV4">
            <v>36.5</v>
          </cell>
          <cell r="CW4">
            <v>32.799999999999997</v>
          </cell>
          <cell r="CX4">
            <v>60.9</v>
          </cell>
          <cell r="CY4">
            <v>54.8</v>
          </cell>
          <cell r="CZ4">
            <v>82.5</v>
          </cell>
          <cell r="DA4">
            <v>74.3</v>
          </cell>
          <cell r="DB4">
            <v>76.3</v>
          </cell>
          <cell r="DC4">
            <v>68.7</v>
          </cell>
          <cell r="DD4">
            <v>61.8</v>
          </cell>
          <cell r="DE4">
            <v>55.6</v>
          </cell>
          <cell r="DF4">
            <v>50.1</v>
          </cell>
          <cell r="DG4">
            <v>0.7</v>
          </cell>
          <cell r="DH4">
            <v>0.8</v>
          </cell>
          <cell r="DI4">
            <v>0.7</v>
          </cell>
          <cell r="DJ4">
            <v>0.8</v>
          </cell>
          <cell r="DK4">
            <v>0</v>
          </cell>
          <cell r="DL4">
            <v>1</v>
          </cell>
          <cell r="DM4">
            <v>1.1000000000000001</v>
          </cell>
          <cell r="DN4">
            <v>1.2</v>
          </cell>
          <cell r="DO4">
            <v>1.3</v>
          </cell>
          <cell r="DP4">
            <v>3.5</v>
          </cell>
          <cell r="DQ4">
            <v>3.9</v>
          </cell>
          <cell r="DR4">
            <v>6.4</v>
          </cell>
          <cell r="DS4">
            <v>7</v>
          </cell>
          <cell r="DT4">
            <v>3.4</v>
          </cell>
          <cell r="DU4">
            <v>3.7</v>
          </cell>
          <cell r="DV4">
            <v>4.0999999999999996</v>
          </cell>
          <cell r="DW4">
            <v>4.5</v>
          </cell>
          <cell r="DX4">
            <v>5</v>
          </cell>
          <cell r="DY4">
            <v>0</v>
          </cell>
          <cell r="DZ4">
            <v>1</v>
          </cell>
          <cell r="EA4">
            <v>0</v>
          </cell>
          <cell r="EB4">
            <v>1</v>
          </cell>
          <cell r="EC4">
            <v>0</v>
          </cell>
          <cell r="ED4">
            <v>1</v>
          </cell>
          <cell r="EE4">
            <v>1.1000000000000001</v>
          </cell>
          <cell r="EF4">
            <v>1.2</v>
          </cell>
          <cell r="EG4">
            <v>1.3</v>
          </cell>
        </row>
        <row r="5">
          <cell r="A5" t="str">
            <v>00350074White</v>
          </cell>
          <cell r="B5" t="str">
            <v>00350074C</v>
          </cell>
          <cell r="C5" t="str">
            <v>0035</v>
          </cell>
          <cell r="D5" t="str">
            <v>00350074</v>
          </cell>
          <cell r="E5" t="str">
            <v>Boston</v>
          </cell>
          <cell r="F5" t="str">
            <v>Dearborn</v>
          </cell>
          <cell r="G5" t="str">
            <v>MS</v>
          </cell>
          <cell r="H5" t="str">
            <v>Boston - Dearborn (00350074)</v>
          </cell>
          <cell r="I5" t="str">
            <v>White</v>
          </cell>
          <cell r="J5" t="str">
            <v>00350074White</v>
          </cell>
          <cell r="K5" t="str">
            <v>--</v>
          </cell>
          <cell r="L5" t="str">
            <v>--</v>
          </cell>
          <cell r="M5" t="str">
            <v>--</v>
          </cell>
          <cell r="N5" t="str">
            <v>--</v>
          </cell>
          <cell r="O5" t="str">
            <v>--</v>
          </cell>
          <cell r="P5" t="str">
            <v>--</v>
          </cell>
          <cell r="Q5" t="str">
            <v>--</v>
          </cell>
          <cell r="R5" t="str">
            <v>--</v>
          </cell>
          <cell r="S5" t="str">
            <v>--</v>
          </cell>
          <cell r="T5" t="str">
            <v>--</v>
          </cell>
          <cell r="U5" t="str">
            <v>--</v>
          </cell>
          <cell r="V5" t="str">
            <v>--</v>
          </cell>
          <cell r="W5" t="str">
            <v>--</v>
          </cell>
          <cell r="X5" t="str">
            <v>--</v>
          </cell>
          <cell r="Y5" t="str">
            <v>--</v>
          </cell>
          <cell r="Z5" t="str">
            <v>--</v>
          </cell>
          <cell r="AA5" t="str">
            <v>--</v>
          </cell>
          <cell r="AB5" t="str">
            <v>--</v>
          </cell>
          <cell r="AC5" t="str">
            <v>--</v>
          </cell>
          <cell r="AD5" t="str">
            <v>--</v>
          </cell>
          <cell r="AE5" t="str">
            <v>--</v>
          </cell>
          <cell r="AF5" t="str">
            <v>--</v>
          </cell>
          <cell r="AG5" t="str">
            <v>--</v>
          </cell>
          <cell r="AH5" t="str">
            <v>--</v>
          </cell>
          <cell r="AI5" t="str">
            <v>--</v>
          </cell>
          <cell r="AJ5" t="str">
            <v>--</v>
          </cell>
          <cell r="AK5" t="str">
            <v>--</v>
          </cell>
          <cell r="AL5" t="str">
            <v>--</v>
          </cell>
          <cell r="AM5" t="str">
            <v>--</v>
          </cell>
          <cell r="AN5" t="str">
            <v>--</v>
          </cell>
          <cell r="AO5" t="str">
            <v>--</v>
          </cell>
          <cell r="AP5" t="str">
            <v>--</v>
          </cell>
          <cell r="AQ5" t="str">
            <v>--</v>
          </cell>
          <cell r="AR5" t="str">
            <v>--</v>
          </cell>
          <cell r="AS5" t="str">
            <v>--</v>
          </cell>
          <cell r="AT5" t="str">
            <v>--</v>
          </cell>
          <cell r="AU5" t="str">
            <v>--</v>
          </cell>
          <cell r="AV5" t="str">
            <v>--</v>
          </cell>
          <cell r="AW5" t="str">
            <v>--</v>
          </cell>
          <cell r="AX5" t="str">
            <v>--</v>
          </cell>
          <cell r="AY5" t="str">
            <v>--</v>
          </cell>
          <cell r="AZ5" t="str">
            <v>--</v>
          </cell>
          <cell r="BA5" t="str">
            <v>--</v>
          </cell>
          <cell r="BB5" t="str">
            <v>--</v>
          </cell>
          <cell r="BC5" t="str">
            <v>--</v>
          </cell>
          <cell r="BD5" t="str">
            <v>--</v>
          </cell>
          <cell r="BE5" t="str">
            <v>--</v>
          </cell>
          <cell r="BF5" t="str">
            <v>--</v>
          </cell>
          <cell r="BG5" t="str">
            <v>--</v>
          </cell>
          <cell r="BH5" t="str">
            <v>--</v>
          </cell>
          <cell r="BI5" t="str">
            <v>--</v>
          </cell>
          <cell r="BJ5" t="str">
            <v>--</v>
          </cell>
          <cell r="BK5" t="str">
            <v>--</v>
          </cell>
          <cell r="BL5" t="str">
            <v>--</v>
          </cell>
          <cell r="BM5" t="str">
            <v>--</v>
          </cell>
          <cell r="BN5" t="str">
            <v>--</v>
          </cell>
          <cell r="BO5" t="str">
            <v>--</v>
          </cell>
          <cell r="BP5" t="str">
            <v>--</v>
          </cell>
          <cell r="BQ5" t="str">
            <v>--</v>
          </cell>
          <cell r="BR5" t="str">
            <v>--</v>
          </cell>
          <cell r="BS5" t="str">
            <v>--</v>
          </cell>
          <cell r="BT5" t="str">
            <v>--</v>
          </cell>
          <cell r="BU5" t="str">
            <v>--</v>
          </cell>
          <cell r="BV5" t="str">
            <v>--</v>
          </cell>
          <cell r="BW5" t="str">
            <v>--</v>
          </cell>
          <cell r="BX5" t="str">
            <v>--</v>
          </cell>
          <cell r="BY5" t="str">
            <v>--</v>
          </cell>
          <cell r="BZ5" t="str">
            <v>--</v>
          </cell>
          <cell r="CA5" t="str">
            <v>--</v>
          </cell>
          <cell r="CB5" t="str">
            <v>--</v>
          </cell>
          <cell r="CC5" t="str">
            <v>--</v>
          </cell>
          <cell r="CD5" t="str">
            <v>--</v>
          </cell>
          <cell r="CE5" t="str">
            <v>--</v>
          </cell>
          <cell r="CF5" t="str">
            <v>--</v>
          </cell>
          <cell r="CG5" t="str">
            <v>--</v>
          </cell>
          <cell r="CH5" t="str">
            <v>--</v>
          </cell>
          <cell r="CI5" t="str">
            <v>--</v>
          </cell>
          <cell r="CJ5" t="str">
            <v>--</v>
          </cell>
          <cell r="CK5" t="str">
            <v>--</v>
          </cell>
          <cell r="CL5" t="str">
            <v>--</v>
          </cell>
          <cell r="CM5" t="str">
            <v>--</v>
          </cell>
          <cell r="CN5" t="str">
            <v>--</v>
          </cell>
          <cell r="CO5" t="str">
            <v>--</v>
          </cell>
          <cell r="CP5" t="str">
            <v>--</v>
          </cell>
          <cell r="CQ5" t="str">
            <v>--</v>
          </cell>
          <cell r="CR5" t="str">
            <v>--</v>
          </cell>
          <cell r="CS5" t="str">
            <v>--</v>
          </cell>
          <cell r="CT5" t="str">
            <v>--</v>
          </cell>
          <cell r="CU5" t="str">
            <v>--</v>
          </cell>
          <cell r="CV5" t="str">
            <v>--</v>
          </cell>
          <cell r="CW5" t="str">
            <v>--</v>
          </cell>
          <cell r="CX5" t="str">
            <v>--</v>
          </cell>
          <cell r="CY5" t="str">
            <v>--</v>
          </cell>
          <cell r="CZ5" t="str">
            <v>--</v>
          </cell>
          <cell r="DA5" t="str">
            <v>--</v>
          </cell>
          <cell r="DB5" t="str">
            <v>--</v>
          </cell>
          <cell r="DC5" t="str">
            <v>--</v>
          </cell>
          <cell r="DD5" t="str">
            <v>--</v>
          </cell>
          <cell r="DE5" t="str">
            <v>--</v>
          </cell>
          <cell r="DF5" t="str">
            <v>--</v>
          </cell>
          <cell r="DG5" t="str">
            <v>--</v>
          </cell>
          <cell r="DH5" t="str">
            <v>--</v>
          </cell>
          <cell r="DI5" t="str">
            <v>--</v>
          </cell>
          <cell r="DJ5" t="str">
            <v>--</v>
          </cell>
          <cell r="DK5" t="str">
            <v>--</v>
          </cell>
          <cell r="DL5" t="str">
            <v>--</v>
          </cell>
          <cell r="DM5" t="str">
            <v>--</v>
          </cell>
          <cell r="DN5" t="str">
            <v>--</v>
          </cell>
          <cell r="DO5" t="str">
            <v>--</v>
          </cell>
          <cell r="DP5" t="str">
            <v>--</v>
          </cell>
          <cell r="DQ5" t="str">
            <v>--</v>
          </cell>
          <cell r="DR5" t="str">
            <v>--</v>
          </cell>
          <cell r="DS5" t="str">
            <v>--</v>
          </cell>
          <cell r="DT5" t="str">
            <v>--</v>
          </cell>
          <cell r="DU5" t="str">
            <v>--</v>
          </cell>
          <cell r="DV5" t="str">
            <v>--</v>
          </cell>
          <cell r="DW5" t="str">
            <v>--</v>
          </cell>
          <cell r="DX5" t="str">
            <v>--</v>
          </cell>
          <cell r="DY5" t="str">
            <v>--</v>
          </cell>
          <cell r="DZ5" t="str">
            <v>--</v>
          </cell>
          <cell r="EA5" t="str">
            <v>--</v>
          </cell>
          <cell r="EB5" t="str">
            <v>--</v>
          </cell>
          <cell r="EC5" t="str">
            <v>--</v>
          </cell>
          <cell r="ED5" t="str">
            <v>--</v>
          </cell>
          <cell r="EE5" t="str">
            <v>--</v>
          </cell>
          <cell r="EF5" t="str">
            <v>--</v>
          </cell>
          <cell r="EG5" t="str">
            <v>--</v>
          </cell>
        </row>
        <row r="6">
          <cell r="A6" t="str">
            <v>00350074Students w/disabilities</v>
          </cell>
          <cell r="B6" t="str">
            <v>00350074D</v>
          </cell>
          <cell r="C6" t="str">
            <v>0035</v>
          </cell>
          <cell r="D6" t="str">
            <v>00350074</v>
          </cell>
          <cell r="E6" t="str">
            <v>Boston</v>
          </cell>
          <cell r="F6" t="str">
            <v>Dearborn</v>
          </cell>
          <cell r="G6" t="str">
            <v>MS</v>
          </cell>
          <cell r="H6" t="str">
            <v>Boston - Dearborn (00350074)</v>
          </cell>
          <cell r="I6" t="str">
            <v>Students w/disabilities</v>
          </cell>
          <cell r="J6" t="str">
            <v>00350074Students w/disabilities</v>
          </cell>
          <cell r="K6" t="str">
            <v>--</v>
          </cell>
          <cell r="L6">
            <v>52.4</v>
          </cell>
          <cell r="M6">
            <v>56.4</v>
          </cell>
          <cell r="N6">
            <v>53.4</v>
          </cell>
          <cell r="O6">
            <v>60.3</v>
          </cell>
          <cell r="P6">
            <v>53.1</v>
          </cell>
          <cell r="Q6">
            <v>65.599999999999994</v>
          </cell>
          <cell r="R6">
            <v>69.599999999999994</v>
          </cell>
          <cell r="S6">
            <v>73.5</v>
          </cell>
          <cell r="T6">
            <v>77.5</v>
          </cell>
          <cell r="U6">
            <v>33.9</v>
          </cell>
          <cell r="V6">
            <v>39.4</v>
          </cell>
          <cell r="W6">
            <v>35.299999999999997</v>
          </cell>
          <cell r="X6">
            <v>44.9</v>
          </cell>
          <cell r="Y6">
            <v>32</v>
          </cell>
          <cell r="Z6">
            <v>51.7</v>
          </cell>
          <cell r="AA6">
            <v>57.2</v>
          </cell>
          <cell r="AB6">
            <v>62.7</v>
          </cell>
          <cell r="AC6">
            <v>68.3</v>
          </cell>
          <cell r="AD6">
            <v>26.9</v>
          </cell>
          <cell r="AE6">
            <v>33</v>
          </cell>
          <cell r="AF6">
            <v>34.1</v>
          </cell>
          <cell r="AG6">
            <v>39.1</v>
          </cell>
          <cell r="AH6">
            <v>14.6</v>
          </cell>
          <cell r="AI6">
            <v>46.5</v>
          </cell>
          <cell r="AJ6">
            <v>52.6</v>
          </cell>
          <cell r="AK6">
            <v>58.7</v>
          </cell>
          <cell r="AL6">
            <v>64.8</v>
          </cell>
          <cell r="AM6" t="str">
            <v>--</v>
          </cell>
          <cell r="AN6" t="str">
            <v>--</v>
          </cell>
          <cell r="AO6" t="str">
            <v>--</v>
          </cell>
          <cell r="AP6" t="str">
            <v>--</v>
          </cell>
          <cell r="AQ6" t="str">
            <v>--</v>
          </cell>
          <cell r="AR6" t="str">
            <v>--</v>
          </cell>
          <cell r="AS6" t="str">
            <v>--</v>
          </cell>
          <cell r="AT6" t="str">
            <v>--</v>
          </cell>
          <cell r="AU6" t="str">
            <v>--</v>
          </cell>
          <cell r="AV6" t="str">
            <v>--</v>
          </cell>
          <cell r="AW6" t="str">
            <v>--</v>
          </cell>
          <cell r="AX6" t="str">
            <v>--</v>
          </cell>
          <cell r="AY6" t="str">
            <v>--</v>
          </cell>
          <cell r="AZ6" t="str">
            <v>--</v>
          </cell>
          <cell r="BA6" t="str">
            <v>--</v>
          </cell>
          <cell r="BB6" t="str">
            <v>--</v>
          </cell>
          <cell r="BC6" t="str">
            <v>--</v>
          </cell>
          <cell r="BD6" t="str">
            <v>--</v>
          </cell>
          <cell r="BE6" t="str">
            <v>--</v>
          </cell>
          <cell r="BF6" t="str">
            <v>--</v>
          </cell>
          <cell r="BG6" t="str">
            <v>--</v>
          </cell>
          <cell r="BH6" t="str">
            <v>--</v>
          </cell>
          <cell r="BI6" t="str">
            <v>--</v>
          </cell>
          <cell r="BJ6" t="str">
            <v>--</v>
          </cell>
          <cell r="BK6" t="str">
            <v>--</v>
          </cell>
          <cell r="BL6" t="str">
            <v>--</v>
          </cell>
          <cell r="BM6" t="str">
            <v>--</v>
          </cell>
          <cell r="BN6">
            <v>54.5</v>
          </cell>
          <cell r="BO6">
            <v>51</v>
          </cell>
          <cell r="BP6">
            <v>36</v>
          </cell>
          <cell r="BQ6">
            <v>51</v>
          </cell>
          <cell r="BR6">
            <v>43</v>
          </cell>
          <cell r="BS6">
            <v>57.5</v>
          </cell>
          <cell r="BT6">
            <v>60</v>
          </cell>
          <cell r="BU6">
            <v>60</v>
          </cell>
          <cell r="BV6">
            <v>60</v>
          </cell>
          <cell r="BW6">
            <v>58</v>
          </cell>
          <cell r="BX6">
            <v>51</v>
          </cell>
          <cell r="BY6">
            <v>42</v>
          </cell>
          <cell r="BZ6">
            <v>51</v>
          </cell>
          <cell r="CA6">
            <v>29</v>
          </cell>
          <cell r="CB6">
            <v>43.5</v>
          </cell>
          <cell r="CC6">
            <v>58</v>
          </cell>
          <cell r="CD6">
            <v>60</v>
          </cell>
          <cell r="CE6">
            <v>60</v>
          </cell>
          <cell r="CF6">
            <v>33.299999999999997</v>
          </cell>
          <cell r="CG6">
            <v>30</v>
          </cell>
          <cell r="CH6">
            <v>34.5</v>
          </cell>
          <cell r="CI6">
            <v>31.1</v>
          </cell>
          <cell r="CJ6">
            <v>34.4</v>
          </cell>
          <cell r="CK6">
            <v>31</v>
          </cell>
          <cell r="CL6">
            <v>27.9</v>
          </cell>
          <cell r="CM6">
            <v>25.1</v>
          </cell>
          <cell r="CN6">
            <v>22.6</v>
          </cell>
          <cell r="CO6">
            <v>69</v>
          </cell>
          <cell r="CP6">
            <v>62.1</v>
          </cell>
          <cell r="CQ6">
            <v>65.5</v>
          </cell>
          <cell r="CR6">
            <v>59</v>
          </cell>
          <cell r="CS6">
            <v>75</v>
          </cell>
          <cell r="CT6">
            <v>67.5</v>
          </cell>
          <cell r="CU6">
            <v>60.8</v>
          </cell>
          <cell r="CV6">
            <v>54.7</v>
          </cell>
          <cell r="CW6">
            <v>49.2</v>
          </cell>
          <cell r="CX6">
            <v>75</v>
          </cell>
          <cell r="CY6">
            <v>72.7</v>
          </cell>
          <cell r="CZ6">
            <v>72.7</v>
          </cell>
          <cell r="DA6" t="str">
            <v>--</v>
          </cell>
          <cell r="DB6">
            <v>91.7</v>
          </cell>
          <cell r="DC6" t="str">
            <v>--</v>
          </cell>
          <cell r="DD6" t="str">
            <v>--</v>
          </cell>
          <cell r="DE6" t="str">
            <v>--</v>
          </cell>
          <cell r="DF6" t="str">
            <v>--</v>
          </cell>
          <cell r="DG6">
            <v>0</v>
          </cell>
          <cell r="DH6">
            <v>1</v>
          </cell>
          <cell r="DI6">
            <v>0</v>
          </cell>
          <cell r="DJ6">
            <v>1</v>
          </cell>
          <cell r="DK6">
            <v>3.1</v>
          </cell>
          <cell r="DL6">
            <v>3.4</v>
          </cell>
          <cell r="DM6">
            <v>3.8</v>
          </cell>
          <cell r="DN6">
            <v>4.0999999999999996</v>
          </cell>
          <cell r="DO6">
            <v>4.5</v>
          </cell>
          <cell r="DP6">
            <v>0</v>
          </cell>
          <cell r="DQ6">
            <v>1</v>
          </cell>
          <cell r="DR6">
            <v>0</v>
          </cell>
          <cell r="DS6">
            <v>1</v>
          </cell>
          <cell r="DT6">
            <v>0</v>
          </cell>
          <cell r="DU6">
            <v>1</v>
          </cell>
          <cell r="DV6">
            <v>1.1000000000000001</v>
          </cell>
          <cell r="DW6">
            <v>1.2</v>
          </cell>
          <cell r="DX6">
            <v>1.3</v>
          </cell>
          <cell r="DY6">
            <v>0</v>
          </cell>
          <cell r="DZ6">
            <v>1</v>
          </cell>
          <cell r="EA6">
            <v>0</v>
          </cell>
          <cell r="EB6" t="str">
            <v>--</v>
          </cell>
          <cell r="EC6">
            <v>0</v>
          </cell>
          <cell r="ED6" t="str">
            <v>--</v>
          </cell>
          <cell r="EE6" t="str">
            <v>--</v>
          </cell>
          <cell r="EF6" t="str">
            <v>--</v>
          </cell>
          <cell r="EG6" t="str">
            <v>--</v>
          </cell>
        </row>
        <row r="7">
          <cell r="A7" t="str">
            <v>00350074Low income</v>
          </cell>
          <cell r="B7" t="str">
            <v>00350074F</v>
          </cell>
          <cell r="C7" t="str">
            <v>0035</v>
          </cell>
          <cell r="D7" t="str">
            <v>00350074</v>
          </cell>
          <cell r="E7" t="str">
            <v>Boston</v>
          </cell>
          <cell r="F7" t="str">
            <v>Dearborn</v>
          </cell>
          <cell r="G7" t="str">
            <v>MS</v>
          </cell>
          <cell r="H7" t="str">
            <v>Boston - Dearborn (00350074)</v>
          </cell>
          <cell r="I7" t="str">
            <v>Low income</v>
          </cell>
          <cell r="J7" t="str">
            <v>00350074Low income</v>
          </cell>
          <cell r="K7" t="str">
            <v>--</v>
          </cell>
          <cell r="L7">
            <v>63.9</v>
          </cell>
          <cell r="M7">
            <v>66.900000000000006</v>
          </cell>
          <cell r="N7">
            <v>58.8</v>
          </cell>
          <cell r="O7">
            <v>69.900000000000006</v>
          </cell>
          <cell r="P7">
            <v>65</v>
          </cell>
          <cell r="Q7">
            <v>74.2</v>
          </cell>
          <cell r="R7">
            <v>77.2</v>
          </cell>
          <cell r="S7">
            <v>80.2</v>
          </cell>
          <cell r="T7">
            <v>83.3</v>
          </cell>
          <cell r="U7">
            <v>50.8</v>
          </cell>
          <cell r="V7">
            <v>54.9</v>
          </cell>
          <cell r="W7">
            <v>49</v>
          </cell>
          <cell r="X7">
            <v>59</v>
          </cell>
          <cell r="Y7">
            <v>53.3</v>
          </cell>
          <cell r="Z7">
            <v>64.400000000000006</v>
          </cell>
          <cell r="AA7">
            <v>68.5</v>
          </cell>
          <cell r="AB7">
            <v>72.599999999999994</v>
          </cell>
          <cell r="AC7">
            <v>76.7</v>
          </cell>
          <cell r="AD7">
            <v>36.1</v>
          </cell>
          <cell r="AE7">
            <v>41.4</v>
          </cell>
          <cell r="AF7">
            <v>29.3</v>
          </cell>
          <cell r="AG7">
            <v>46.8</v>
          </cell>
          <cell r="AH7">
            <v>31.3</v>
          </cell>
          <cell r="AI7">
            <v>53.4</v>
          </cell>
          <cell r="AJ7">
            <v>58.7</v>
          </cell>
          <cell r="AK7">
            <v>64</v>
          </cell>
          <cell r="AL7">
            <v>69.400000000000006</v>
          </cell>
          <cell r="AM7" t="str">
            <v>--</v>
          </cell>
          <cell r="AN7" t="str">
            <v>--</v>
          </cell>
          <cell r="AO7" t="str">
            <v>--</v>
          </cell>
          <cell r="AP7" t="str">
            <v>--</v>
          </cell>
          <cell r="AQ7" t="str">
            <v>--</v>
          </cell>
          <cell r="AR7" t="str">
            <v>--</v>
          </cell>
          <cell r="AS7" t="str">
            <v>--</v>
          </cell>
          <cell r="AT7" t="str">
            <v>--</v>
          </cell>
          <cell r="AU7" t="str">
            <v>--</v>
          </cell>
          <cell r="AV7" t="str">
            <v>--</v>
          </cell>
          <cell r="AW7" t="str">
            <v>--</v>
          </cell>
          <cell r="AX7" t="str">
            <v>--</v>
          </cell>
          <cell r="AY7" t="str">
            <v>--</v>
          </cell>
          <cell r="AZ7" t="str">
            <v>--</v>
          </cell>
          <cell r="BA7" t="str">
            <v>--</v>
          </cell>
          <cell r="BB7" t="str">
            <v>--</v>
          </cell>
          <cell r="BC7" t="str">
            <v>--</v>
          </cell>
          <cell r="BD7" t="str">
            <v>--</v>
          </cell>
          <cell r="BE7" t="str">
            <v>--</v>
          </cell>
          <cell r="BF7" t="str">
            <v>--</v>
          </cell>
          <cell r="BG7" t="str">
            <v>--</v>
          </cell>
          <cell r="BH7" t="str">
            <v>--</v>
          </cell>
          <cell r="BI7" t="str">
            <v>--</v>
          </cell>
          <cell r="BJ7" t="str">
            <v>--</v>
          </cell>
          <cell r="BK7" t="str">
            <v>--</v>
          </cell>
          <cell r="BL7" t="str">
            <v>--</v>
          </cell>
          <cell r="BM7" t="str">
            <v>--</v>
          </cell>
          <cell r="BN7">
            <v>54</v>
          </cell>
          <cell r="BO7">
            <v>51</v>
          </cell>
          <cell r="BP7">
            <v>45.5</v>
          </cell>
          <cell r="BQ7">
            <v>51</v>
          </cell>
          <cell r="BR7">
            <v>56</v>
          </cell>
          <cell r="BS7">
            <v>60</v>
          </cell>
          <cell r="BT7">
            <v>60</v>
          </cell>
          <cell r="BU7">
            <v>60</v>
          </cell>
          <cell r="BV7">
            <v>60</v>
          </cell>
          <cell r="BW7">
            <v>59.5</v>
          </cell>
          <cell r="BX7">
            <v>51</v>
          </cell>
          <cell r="BY7">
            <v>47.5</v>
          </cell>
          <cell r="BZ7">
            <v>51</v>
          </cell>
          <cell r="CA7">
            <v>48</v>
          </cell>
          <cell r="CB7">
            <v>60</v>
          </cell>
          <cell r="CC7">
            <v>60</v>
          </cell>
          <cell r="CD7">
            <v>60</v>
          </cell>
          <cell r="CE7">
            <v>60</v>
          </cell>
          <cell r="CF7">
            <v>25.2</v>
          </cell>
          <cell r="CG7">
            <v>22.7</v>
          </cell>
          <cell r="CH7">
            <v>34.5</v>
          </cell>
          <cell r="CI7">
            <v>31.1</v>
          </cell>
          <cell r="CJ7">
            <v>26.4</v>
          </cell>
          <cell r="CK7">
            <v>23.8</v>
          </cell>
          <cell r="CL7">
            <v>21.4</v>
          </cell>
          <cell r="CM7">
            <v>19.2</v>
          </cell>
          <cell r="CN7">
            <v>17.3</v>
          </cell>
          <cell r="CO7">
            <v>47</v>
          </cell>
          <cell r="CP7">
            <v>42.3</v>
          </cell>
          <cell r="CQ7">
            <v>49</v>
          </cell>
          <cell r="CR7">
            <v>44.1</v>
          </cell>
          <cell r="CS7">
            <v>44.6</v>
          </cell>
          <cell r="CT7">
            <v>40.1</v>
          </cell>
          <cell r="CU7">
            <v>36.1</v>
          </cell>
          <cell r="CV7">
            <v>32.5</v>
          </cell>
          <cell r="CW7">
            <v>29.3</v>
          </cell>
          <cell r="CX7">
            <v>63.5</v>
          </cell>
          <cell r="CY7">
            <v>57.2</v>
          </cell>
          <cell r="CZ7">
            <v>78.8</v>
          </cell>
          <cell r="DA7">
            <v>70.900000000000006</v>
          </cell>
          <cell r="DB7">
            <v>72.400000000000006</v>
          </cell>
          <cell r="DC7">
            <v>65.2</v>
          </cell>
          <cell r="DD7">
            <v>58.6</v>
          </cell>
          <cell r="DE7">
            <v>52.8</v>
          </cell>
          <cell r="DF7">
            <v>47.5</v>
          </cell>
          <cell r="DG7">
            <v>1</v>
          </cell>
          <cell r="DH7">
            <v>1.1000000000000001</v>
          </cell>
          <cell r="DI7">
            <v>2.1</v>
          </cell>
          <cell r="DJ7">
            <v>2.2999999999999998</v>
          </cell>
          <cell r="DK7">
            <v>2.6</v>
          </cell>
          <cell r="DL7">
            <v>2.9</v>
          </cell>
          <cell r="DM7">
            <v>3.1</v>
          </cell>
          <cell r="DN7">
            <v>3.5</v>
          </cell>
          <cell r="DO7">
            <v>3.8</v>
          </cell>
          <cell r="DP7">
            <v>5.6</v>
          </cell>
          <cell r="DQ7">
            <v>6.2</v>
          </cell>
          <cell r="DR7">
            <v>8.3000000000000007</v>
          </cell>
          <cell r="DS7">
            <v>9.1</v>
          </cell>
          <cell r="DT7">
            <v>5.0999999999999996</v>
          </cell>
          <cell r="DU7">
            <v>5.6</v>
          </cell>
          <cell r="DV7">
            <v>6.2</v>
          </cell>
          <cell r="DW7">
            <v>6.8</v>
          </cell>
          <cell r="DX7">
            <v>7.5</v>
          </cell>
          <cell r="DY7">
            <v>0</v>
          </cell>
          <cell r="DZ7">
            <v>1</v>
          </cell>
          <cell r="EA7">
            <v>0</v>
          </cell>
          <cell r="EB7">
            <v>1</v>
          </cell>
          <cell r="EC7">
            <v>0</v>
          </cell>
          <cell r="ED7">
            <v>1</v>
          </cell>
          <cell r="EE7">
            <v>1.1000000000000001</v>
          </cell>
          <cell r="EF7">
            <v>1.2</v>
          </cell>
          <cell r="EG7">
            <v>1.3</v>
          </cell>
        </row>
        <row r="8">
          <cell r="A8" t="str">
            <v>00350074Hispanic/Latino</v>
          </cell>
          <cell r="B8" t="str">
            <v>00350074H</v>
          </cell>
          <cell r="C8" t="str">
            <v>0035</v>
          </cell>
          <cell r="D8" t="str">
            <v>00350074</v>
          </cell>
          <cell r="E8" t="str">
            <v>Boston</v>
          </cell>
          <cell r="F8" t="str">
            <v>Dearborn</v>
          </cell>
          <cell r="G8" t="str">
            <v>MS</v>
          </cell>
          <cell r="H8" t="str">
            <v>Boston - Dearborn (00350074)</v>
          </cell>
          <cell r="I8" t="str">
            <v>Hispanic/Latino</v>
          </cell>
          <cell r="J8" t="str">
            <v>00350074Hispanic/Latino</v>
          </cell>
          <cell r="K8" t="str">
            <v>--</v>
          </cell>
          <cell r="L8">
            <v>75</v>
          </cell>
          <cell r="M8">
            <v>77.099999999999994</v>
          </cell>
          <cell r="N8">
            <v>73.8</v>
          </cell>
          <cell r="O8">
            <v>79.2</v>
          </cell>
          <cell r="P8">
            <v>75</v>
          </cell>
          <cell r="Q8">
            <v>82.6</v>
          </cell>
          <cell r="R8">
            <v>84.6</v>
          </cell>
          <cell r="S8">
            <v>86.7</v>
          </cell>
          <cell r="T8">
            <v>88.8</v>
          </cell>
          <cell r="U8">
            <v>60.3</v>
          </cell>
          <cell r="V8">
            <v>63.6</v>
          </cell>
          <cell r="W8">
            <v>64.400000000000006</v>
          </cell>
          <cell r="X8">
            <v>66.900000000000006</v>
          </cell>
          <cell r="Y8">
            <v>55.6</v>
          </cell>
          <cell r="Z8">
            <v>71.5</v>
          </cell>
          <cell r="AA8">
            <v>74.8</v>
          </cell>
          <cell r="AB8">
            <v>78.099999999999994</v>
          </cell>
          <cell r="AC8">
            <v>81.5</v>
          </cell>
          <cell r="AD8">
            <v>30.9</v>
          </cell>
          <cell r="AE8">
            <v>36.700000000000003</v>
          </cell>
          <cell r="AF8">
            <v>46.4</v>
          </cell>
          <cell r="AG8">
            <v>42.4</v>
          </cell>
          <cell r="AH8">
            <v>45</v>
          </cell>
          <cell r="AI8">
            <v>49.5</v>
          </cell>
          <cell r="AJ8">
            <v>55.2</v>
          </cell>
          <cell r="AK8">
            <v>61</v>
          </cell>
          <cell r="AL8">
            <v>66.8</v>
          </cell>
          <cell r="AM8" t="str">
            <v>--</v>
          </cell>
          <cell r="AN8" t="str">
            <v>--</v>
          </cell>
          <cell r="AO8" t="str">
            <v>--</v>
          </cell>
          <cell r="AP8" t="str">
            <v>--</v>
          </cell>
          <cell r="AQ8" t="str">
            <v>--</v>
          </cell>
          <cell r="AR8" t="str">
            <v>--</v>
          </cell>
          <cell r="AS8" t="str">
            <v>--</v>
          </cell>
          <cell r="AT8" t="str">
            <v>--</v>
          </cell>
          <cell r="AU8" t="str">
            <v>--</v>
          </cell>
          <cell r="AV8" t="str">
            <v>--</v>
          </cell>
          <cell r="AW8" t="str">
            <v>--</v>
          </cell>
          <cell r="AX8" t="str">
            <v>--</v>
          </cell>
          <cell r="AY8" t="str">
            <v>--</v>
          </cell>
          <cell r="AZ8" t="str">
            <v>--</v>
          </cell>
          <cell r="BA8" t="str">
            <v>--</v>
          </cell>
          <cell r="BB8" t="str">
            <v>--</v>
          </cell>
          <cell r="BC8" t="str">
            <v>--</v>
          </cell>
          <cell r="BD8" t="str">
            <v>--</v>
          </cell>
          <cell r="BE8" t="str">
            <v>--</v>
          </cell>
          <cell r="BF8" t="str">
            <v>--</v>
          </cell>
          <cell r="BG8" t="str">
            <v>--</v>
          </cell>
          <cell r="BH8" t="str">
            <v>--</v>
          </cell>
          <cell r="BI8" t="str">
            <v>--</v>
          </cell>
          <cell r="BJ8" t="str">
            <v>--</v>
          </cell>
          <cell r="BK8" t="str">
            <v>--</v>
          </cell>
          <cell r="BL8" t="str">
            <v>--</v>
          </cell>
          <cell r="BM8" t="str">
            <v>--</v>
          </cell>
          <cell r="BN8">
            <v>52.5</v>
          </cell>
          <cell r="BO8">
            <v>51</v>
          </cell>
          <cell r="BP8">
            <v>37.5</v>
          </cell>
          <cell r="BQ8">
            <v>47.5</v>
          </cell>
          <cell r="BR8">
            <v>56</v>
          </cell>
          <cell r="BS8">
            <v>60</v>
          </cell>
          <cell r="BT8">
            <v>60</v>
          </cell>
          <cell r="BU8">
            <v>60</v>
          </cell>
          <cell r="BV8">
            <v>60</v>
          </cell>
          <cell r="BW8">
            <v>62.5</v>
          </cell>
          <cell r="BX8">
            <v>51</v>
          </cell>
          <cell r="BY8">
            <v>45</v>
          </cell>
          <cell r="BZ8">
            <v>51</v>
          </cell>
          <cell r="CA8">
            <v>38</v>
          </cell>
          <cell r="CB8">
            <v>52.5</v>
          </cell>
          <cell r="CC8">
            <v>60</v>
          </cell>
          <cell r="CD8">
            <v>60</v>
          </cell>
          <cell r="CE8">
            <v>60</v>
          </cell>
          <cell r="CF8">
            <v>14.8</v>
          </cell>
          <cell r="CG8">
            <v>13.3</v>
          </cell>
          <cell r="CH8">
            <v>12.2</v>
          </cell>
          <cell r="CI8">
            <v>11</v>
          </cell>
          <cell r="CJ8">
            <v>11.1</v>
          </cell>
          <cell r="CK8">
            <v>10</v>
          </cell>
          <cell r="CL8">
            <v>9</v>
          </cell>
          <cell r="CM8">
            <v>8.1</v>
          </cell>
          <cell r="CN8">
            <v>7.3</v>
          </cell>
          <cell r="CO8">
            <v>37.9</v>
          </cell>
          <cell r="CP8">
            <v>34.1</v>
          </cell>
          <cell r="CQ8">
            <v>30</v>
          </cell>
          <cell r="CR8">
            <v>27</v>
          </cell>
          <cell r="CS8">
            <v>41.7</v>
          </cell>
          <cell r="CT8">
            <v>37.5</v>
          </cell>
          <cell r="CU8">
            <v>33.799999999999997</v>
          </cell>
          <cell r="CV8">
            <v>30.4</v>
          </cell>
          <cell r="CW8">
            <v>27.4</v>
          </cell>
          <cell r="CX8">
            <v>64.7</v>
          </cell>
          <cell r="CY8">
            <v>66.2</v>
          </cell>
          <cell r="CZ8">
            <v>57.1</v>
          </cell>
          <cell r="DA8" t="str">
            <v>--</v>
          </cell>
          <cell r="DB8">
            <v>60</v>
          </cell>
          <cell r="DC8" t="str">
            <v>--</v>
          </cell>
          <cell r="DD8" t="str">
            <v>--</v>
          </cell>
          <cell r="DE8" t="str">
            <v>--</v>
          </cell>
          <cell r="DF8" t="str">
            <v>--</v>
          </cell>
          <cell r="DG8">
            <v>3.3</v>
          </cell>
          <cell r="DH8">
            <v>3.6</v>
          </cell>
          <cell r="DI8">
            <v>2.4</v>
          </cell>
          <cell r="DJ8">
            <v>2.6</v>
          </cell>
          <cell r="DK8">
            <v>5.6</v>
          </cell>
          <cell r="DL8">
            <v>6.2</v>
          </cell>
          <cell r="DM8">
            <v>6.8</v>
          </cell>
          <cell r="DN8">
            <v>7.5</v>
          </cell>
          <cell r="DO8">
            <v>8.1999999999999993</v>
          </cell>
          <cell r="DP8">
            <v>8.6</v>
          </cell>
          <cell r="DQ8">
            <v>9.5</v>
          </cell>
          <cell r="DR8">
            <v>12.5</v>
          </cell>
          <cell r="DS8">
            <v>13.8</v>
          </cell>
          <cell r="DT8">
            <v>4.2</v>
          </cell>
          <cell r="DU8">
            <v>4.5999999999999996</v>
          </cell>
          <cell r="DV8">
            <v>5.0999999999999996</v>
          </cell>
          <cell r="DW8">
            <v>5.6</v>
          </cell>
          <cell r="DX8">
            <v>6.1</v>
          </cell>
          <cell r="DY8">
            <v>0</v>
          </cell>
          <cell r="DZ8">
            <v>1</v>
          </cell>
          <cell r="EA8">
            <v>0</v>
          </cell>
          <cell r="EB8" t="str">
            <v>--</v>
          </cell>
          <cell r="EC8">
            <v>0</v>
          </cell>
          <cell r="ED8" t="str">
            <v>--</v>
          </cell>
          <cell r="EE8" t="str">
            <v>--</v>
          </cell>
          <cell r="EF8" t="str">
            <v>--</v>
          </cell>
          <cell r="EG8" t="str">
            <v>--</v>
          </cell>
        </row>
        <row r="9">
          <cell r="A9" t="str">
            <v>00350074ELL and Former ELL</v>
          </cell>
          <cell r="B9" t="str">
            <v>00350074L</v>
          </cell>
          <cell r="C9" t="str">
            <v>0035</v>
          </cell>
          <cell r="D9" t="str">
            <v>00350074</v>
          </cell>
          <cell r="E9" t="str">
            <v>Boston</v>
          </cell>
          <cell r="F9" t="str">
            <v>Dearborn</v>
          </cell>
          <cell r="G9" t="str">
            <v>MS</v>
          </cell>
          <cell r="H9" t="str">
            <v>Boston - Dearborn (00350074)</v>
          </cell>
          <cell r="I9" t="str">
            <v>ELL and Former ELL</v>
          </cell>
          <cell r="J9" t="str">
            <v>00350074ELL and Former ELL</v>
          </cell>
          <cell r="K9" t="str">
            <v>--</v>
          </cell>
          <cell r="L9">
            <v>52.3</v>
          </cell>
          <cell r="M9">
            <v>56.3</v>
          </cell>
          <cell r="N9">
            <v>49.8</v>
          </cell>
          <cell r="O9">
            <v>60.3</v>
          </cell>
          <cell r="P9">
            <v>58.2</v>
          </cell>
          <cell r="Q9">
            <v>65.5</v>
          </cell>
          <cell r="R9">
            <v>69.5</v>
          </cell>
          <cell r="S9">
            <v>73.5</v>
          </cell>
          <cell r="T9">
            <v>77.5</v>
          </cell>
          <cell r="U9">
            <v>44.3</v>
          </cell>
          <cell r="V9">
            <v>48.9</v>
          </cell>
          <cell r="W9">
            <v>43.8</v>
          </cell>
          <cell r="X9">
            <v>53.6</v>
          </cell>
          <cell r="Y9">
            <v>50.6</v>
          </cell>
          <cell r="Z9">
            <v>59.5</v>
          </cell>
          <cell r="AA9">
            <v>64.2</v>
          </cell>
          <cell r="AB9">
            <v>68.8</v>
          </cell>
          <cell r="AC9">
            <v>73.5</v>
          </cell>
          <cell r="AD9">
            <v>28.4</v>
          </cell>
          <cell r="AE9">
            <v>34.4</v>
          </cell>
          <cell r="AF9">
            <v>17.600000000000001</v>
          </cell>
          <cell r="AG9">
            <v>40.299999999999997</v>
          </cell>
          <cell r="AH9">
            <v>19.5</v>
          </cell>
          <cell r="AI9">
            <v>47.6</v>
          </cell>
          <cell r="AJ9">
            <v>53.6</v>
          </cell>
          <cell r="AK9">
            <v>59.5</v>
          </cell>
          <cell r="AL9">
            <v>65.5</v>
          </cell>
          <cell r="AM9" t="str">
            <v>--</v>
          </cell>
          <cell r="AN9" t="str">
            <v>--</v>
          </cell>
          <cell r="AO9" t="str">
            <v>--</v>
          </cell>
          <cell r="AP9" t="str">
            <v>--</v>
          </cell>
          <cell r="AQ9" t="str">
            <v>--</v>
          </cell>
          <cell r="AR9" t="str">
            <v>--</v>
          </cell>
          <cell r="AS9" t="str">
            <v>--</v>
          </cell>
          <cell r="AT9" t="str">
            <v>--</v>
          </cell>
          <cell r="AU9" t="str">
            <v>--</v>
          </cell>
          <cell r="AV9" t="str">
            <v>--</v>
          </cell>
          <cell r="AW9" t="str">
            <v>--</v>
          </cell>
          <cell r="AX9" t="str">
            <v>--</v>
          </cell>
          <cell r="AY9" t="str">
            <v>--</v>
          </cell>
          <cell r="AZ9" t="str">
            <v>--</v>
          </cell>
          <cell r="BA9" t="str">
            <v>--</v>
          </cell>
          <cell r="BB9" t="str">
            <v>--</v>
          </cell>
          <cell r="BC9" t="str">
            <v>--</v>
          </cell>
          <cell r="BD9" t="str">
            <v>--</v>
          </cell>
          <cell r="BE9" t="str">
            <v>--</v>
          </cell>
          <cell r="BF9" t="str">
            <v>--</v>
          </cell>
          <cell r="BG9" t="str">
            <v>--</v>
          </cell>
          <cell r="BH9" t="str">
            <v>--</v>
          </cell>
          <cell r="BI9" t="str">
            <v>--</v>
          </cell>
          <cell r="BJ9" t="str">
            <v>--</v>
          </cell>
          <cell r="BK9" t="str">
            <v>--</v>
          </cell>
          <cell r="BL9" t="str">
            <v>--</v>
          </cell>
          <cell r="BM9" t="str">
            <v>--</v>
          </cell>
          <cell r="BN9">
            <v>59</v>
          </cell>
          <cell r="BO9">
            <v>51</v>
          </cell>
          <cell r="BP9">
            <v>43</v>
          </cell>
          <cell r="BQ9">
            <v>51</v>
          </cell>
          <cell r="BR9">
            <v>59.5</v>
          </cell>
          <cell r="BS9">
            <v>60</v>
          </cell>
          <cell r="BT9">
            <v>60</v>
          </cell>
          <cell r="BU9">
            <v>60</v>
          </cell>
          <cell r="BV9">
            <v>60</v>
          </cell>
          <cell r="BW9">
            <v>58</v>
          </cell>
          <cell r="BX9">
            <v>51</v>
          </cell>
          <cell r="BY9">
            <v>46</v>
          </cell>
          <cell r="BZ9">
            <v>51</v>
          </cell>
          <cell r="CA9">
            <v>53</v>
          </cell>
          <cell r="CB9">
            <v>60</v>
          </cell>
          <cell r="CC9">
            <v>60</v>
          </cell>
          <cell r="CD9">
            <v>60</v>
          </cell>
          <cell r="CE9">
            <v>60</v>
          </cell>
          <cell r="CF9">
            <v>38.799999999999997</v>
          </cell>
          <cell r="CG9">
            <v>34.9</v>
          </cell>
          <cell r="CH9">
            <v>42.6</v>
          </cell>
          <cell r="CI9">
            <v>38.299999999999997</v>
          </cell>
          <cell r="CJ9">
            <v>34.4</v>
          </cell>
          <cell r="CK9">
            <v>31</v>
          </cell>
          <cell r="CL9">
            <v>27.9</v>
          </cell>
          <cell r="CM9">
            <v>25.1</v>
          </cell>
          <cell r="CN9">
            <v>22.6</v>
          </cell>
          <cell r="CO9">
            <v>51.5</v>
          </cell>
          <cell r="CP9">
            <v>46.4</v>
          </cell>
          <cell r="CQ9">
            <v>55.2</v>
          </cell>
          <cell r="CR9">
            <v>49.7</v>
          </cell>
          <cell r="CS9">
            <v>46.8</v>
          </cell>
          <cell r="CT9">
            <v>42.1</v>
          </cell>
          <cell r="CU9">
            <v>37.9</v>
          </cell>
          <cell r="CV9">
            <v>34.1</v>
          </cell>
          <cell r="CW9">
            <v>30.7</v>
          </cell>
          <cell r="CX9">
            <v>75.7</v>
          </cell>
          <cell r="CY9">
            <v>68.099999999999994</v>
          </cell>
          <cell r="CZ9">
            <v>100</v>
          </cell>
          <cell r="DA9">
            <v>90</v>
          </cell>
          <cell r="DB9">
            <v>92</v>
          </cell>
          <cell r="DC9">
            <v>82.8</v>
          </cell>
          <cell r="DD9">
            <v>74.5</v>
          </cell>
          <cell r="DE9">
            <v>67.099999999999994</v>
          </cell>
          <cell r="DF9">
            <v>60.4</v>
          </cell>
          <cell r="DG9">
            <v>1</v>
          </cell>
          <cell r="DH9">
            <v>1.1000000000000001</v>
          </cell>
          <cell r="DI9">
            <v>0.9</v>
          </cell>
          <cell r="DJ9">
            <v>1</v>
          </cell>
          <cell r="DK9">
            <v>0.8</v>
          </cell>
          <cell r="DL9">
            <v>0.9</v>
          </cell>
          <cell r="DM9">
            <v>1</v>
          </cell>
          <cell r="DN9">
            <v>1.1000000000000001</v>
          </cell>
          <cell r="DO9">
            <v>1.2</v>
          </cell>
          <cell r="DP9">
            <v>3.1</v>
          </cell>
          <cell r="DQ9">
            <v>3.4</v>
          </cell>
          <cell r="DR9">
            <v>7.8</v>
          </cell>
          <cell r="DS9">
            <v>8.6</v>
          </cell>
          <cell r="DT9">
            <v>4.8</v>
          </cell>
          <cell r="DU9">
            <v>5.3</v>
          </cell>
          <cell r="DV9">
            <v>5.8</v>
          </cell>
          <cell r="DW9">
            <v>6.4</v>
          </cell>
          <cell r="DX9">
            <v>7</v>
          </cell>
          <cell r="DY9">
            <v>0</v>
          </cell>
          <cell r="DZ9">
            <v>1</v>
          </cell>
          <cell r="EA9">
            <v>0</v>
          </cell>
          <cell r="EB9">
            <v>1</v>
          </cell>
          <cell r="EC9">
            <v>0</v>
          </cell>
          <cell r="ED9">
            <v>1</v>
          </cell>
          <cell r="EE9">
            <v>1.1000000000000001</v>
          </cell>
          <cell r="EF9">
            <v>1.2</v>
          </cell>
          <cell r="EG9">
            <v>1.3</v>
          </cell>
        </row>
        <row r="10">
          <cell r="A10" t="str">
            <v>00350074Multi-race, Non-Hisp./Lat.</v>
          </cell>
          <cell r="B10" t="str">
            <v>00350074M</v>
          </cell>
          <cell r="C10" t="str">
            <v>0035</v>
          </cell>
          <cell r="D10" t="str">
            <v>00350074</v>
          </cell>
          <cell r="E10" t="str">
            <v>Boston</v>
          </cell>
          <cell r="F10" t="str">
            <v>Dearborn</v>
          </cell>
          <cell r="G10" t="str">
            <v>MS</v>
          </cell>
          <cell r="H10" t="str">
            <v>Boston - Dearborn (00350074)</v>
          </cell>
          <cell r="I10" t="str">
            <v>Multi-race, Non-Hisp./Lat.</v>
          </cell>
          <cell r="J10" t="str">
            <v>00350074Multi-race, Non-Hisp./Lat.</v>
          </cell>
          <cell r="K10" t="str">
            <v>Level 4</v>
          </cell>
          <cell r="L10" t="str">
            <v>--</v>
          </cell>
          <cell r="M10" t="str">
            <v>--</v>
          </cell>
          <cell r="N10" t="str">
            <v>--</v>
          </cell>
          <cell r="O10" t="str">
            <v>--</v>
          </cell>
          <cell r="P10" t="str">
            <v>--</v>
          </cell>
          <cell r="Q10" t="str">
            <v>--</v>
          </cell>
          <cell r="R10" t="str">
            <v>--</v>
          </cell>
          <cell r="S10" t="str">
            <v>--</v>
          </cell>
          <cell r="T10" t="str">
            <v>--</v>
          </cell>
          <cell r="U10" t="str">
            <v>--</v>
          </cell>
          <cell r="V10" t="str">
            <v>--</v>
          </cell>
          <cell r="W10" t="str">
            <v>--</v>
          </cell>
          <cell r="X10" t="str">
            <v>--</v>
          </cell>
          <cell r="Y10" t="str">
            <v>--</v>
          </cell>
          <cell r="Z10" t="str">
            <v>--</v>
          </cell>
          <cell r="AA10" t="str">
            <v>--</v>
          </cell>
          <cell r="AB10" t="str">
            <v>--</v>
          </cell>
          <cell r="AC10" t="str">
            <v>--</v>
          </cell>
          <cell r="AD10" t="str">
            <v>--</v>
          </cell>
          <cell r="AE10" t="str">
            <v>--</v>
          </cell>
          <cell r="AF10" t="str">
            <v>--</v>
          </cell>
          <cell r="AG10" t="str">
            <v>--</v>
          </cell>
          <cell r="AH10" t="str">
            <v>--</v>
          </cell>
          <cell r="AI10" t="str">
            <v>--</v>
          </cell>
          <cell r="AJ10" t="str">
            <v>--</v>
          </cell>
          <cell r="AK10" t="str">
            <v>--</v>
          </cell>
          <cell r="AL10" t="str">
            <v>--</v>
          </cell>
          <cell r="AM10" t="str">
            <v>--</v>
          </cell>
          <cell r="AN10" t="str">
            <v>--</v>
          </cell>
          <cell r="AO10" t="str">
            <v>--</v>
          </cell>
          <cell r="AP10" t="str">
            <v>--</v>
          </cell>
          <cell r="AQ10" t="str">
            <v>--</v>
          </cell>
          <cell r="AR10" t="str">
            <v>--</v>
          </cell>
          <cell r="AS10" t="str">
            <v>--</v>
          </cell>
          <cell r="AT10" t="str">
            <v>--</v>
          </cell>
          <cell r="AU10" t="str">
            <v>--</v>
          </cell>
          <cell r="AV10" t="str">
            <v>--</v>
          </cell>
          <cell r="AW10" t="str">
            <v>--</v>
          </cell>
          <cell r="AX10" t="str">
            <v>--</v>
          </cell>
          <cell r="AY10" t="str">
            <v>--</v>
          </cell>
          <cell r="AZ10" t="str">
            <v>--</v>
          </cell>
          <cell r="BA10" t="str">
            <v>--</v>
          </cell>
          <cell r="BB10" t="str">
            <v>--</v>
          </cell>
          <cell r="BC10" t="str">
            <v>--</v>
          </cell>
          <cell r="BD10" t="str">
            <v>--</v>
          </cell>
          <cell r="BE10" t="str">
            <v>--</v>
          </cell>
          <cell r="BF10" t="str">
            <v>--</v>
          </cell>
          <cell r="BG10" t="str">
            <v>--</v>
          </cell>
          <cell r="BH10" t="str">
            <v>--</v>
          </cell>
          <cell r="BI10" t="str">
            <v>--</v>
          </cell>
          <cell r="BJ10" t="str">
            <v>--</v>
          </cell>
          <cell r="BK10" t="str">
            <v>--</v>
          </cell>
          <cell r="BL10" t="str">
            <v>--</v>
          </cell>
          <cell r="BM10" t="str">
            <v>--</v>
          </cell>
          <cell r="BN10" t="str">
            <v>--</v>
          </cell>
          <cell r="BO10" t="str">
            <v>--</v>
          </cell>
          <cell r="BP10" t="str">
            <v>--</v>
          </cell>
          <cell r="BQ10" t="str">
            <v>--</v>
          </cell>
          <cell r="BR10" t="str">
            <v>--</v>
          </cell>
          <cell r="BS10" t="str">
            <v>--</v>
          </cell>
          <cell r="BT10" t="str">
            <v>--</v>
          </cell>
          <cell r="BU10" t="str">
            <v>--</v>
          </cell>
          <cell r="BV10" t="str">
            <v>--</v>
          </cell>
          <cell r="BW10" t="str">
            <v>--</v>
          </cell>
          <cell r="BX10" t="str">
            <v>--</v>
          </cell>
          <cell r="BY10" t="str">
            <v>--</v>
          </cell>
          <cell r="BZ10" t="str">
            <v>--</v>
          </cell>
          <cell r="CA10" t="str">
            <v>--</v>
          </cell>
          <cell r="CB10" t="str">
            <v>--</v>
          </cell>
          <cell r="CC10" t="str">
            <v>--</v>
          </cell>
          <cell r="CD10" t="str">
            <v>--</v>
          </cell>
          <cell r="CE10" t="str">
            <v>--</v>
          </cell>
          <cell r="CF10" t="str">
            <v>--</v>
          </cell>
          <cell r="CG10" t="str">
            <v>--</v>
          </cell>
          <cell r="CH10" t="str">
            <v>--</v>
          </cell>
          <cell r="CI10" t="str">
            <v>--</v>
          </cell>
          <cell r="CJ10" t="str">
            <v>--</v>
          </cell>
          <cell r="CK10" t="str">
            <v>--</v>
          </cell>
          <cell r="CL10" t="str">
            <v>--</v>
          </cell>
          <cell r="CM10" t="str">
            <v>--</v>
          </cell>
          <cell r="CN10" t="str">
            <v>--</v>
          </cell>
          <cell r="CO10" t="str">
            <v>--</v>
          </cell>
          <cell r="CP10" t="str">
            <v>--</v>
          </cell>
          <cell r="CQ10" t="str">
            <v>--</v>
          </cell>
          <cell r="CR10" t="str">
            <v>--</v>
          </cell>
          <cell r="CS10" t="str">
            <v>--</v>
          </cell>
          <cell r="CT10" t="str">
            <v>--</v>
          </cell>
          <cell r="CU10" t="str">
            <v>--</v>
          </cell>
          <cell r="CV10" t="str">
            <v>--</v>
          </cell>
          <cell r="CW10" t="str">
            <v>--</v>
          </cell>
          <cell r="CX10" t="str">
            <v>--</v>
          </cell>
          <cell r="CY10" t="str">
            <v>--</v>
          </cell>
          <cell r="CZ10" t="str">
            <v>--</v>
          </cell>
          <cell r="DA10" t="str">
            <v>--</v>
          </cell>
          <cell r="DB10" t="str">
            <v>--</v>
          </cell>
          <cell r="DC10" t="str">
            <v>--</v>
          </cell>
          <cell r="DD10" t="str">
            <v>--</v>
          </cell>
          <cell r="DE10" t="str">
            <v>--</v>
          </cell>
          <cell r="DF10" t="str">
            <v>--</v>
          </cell>
          <cell r="DG10" t="str">
            <v>--</v>
          </cell>
          <cell r="DH10" t="str">
            <v>--</v>
          </cell>
          <cell r="DI10" t="str">
            <v>--</v>
          </cell>
          <cell r="DJ10" t="str">
            <v>--</v>
          </cell>
          <cell r="DK10" t="str">
            <v>--</v>
          </cell>
          <cell r="DL10" t="str">
            <v>--</v>
          </cell>
          <cell r="DM10" t="str">
            <v>--</v>
          </cell>
          <cell r="DN10" t="str">
            <v>--</v>
          </cell>
          <cell r="DO10" t="str">
            <v>--</v>
          </cell>
          <cell r="DP10" t="str">
            <v>--</v>
          </cell>
          <cell r="DQ10" t="str">
            <v>--</v>
          </cell>
          <cell r="DR10" t="str">
            <v>--</v>
          </cell>
          <cell r="DS10" t="str">
            <v>--</v>
          </cell>
          <cell r="DT10" t="str">
            <v>--</v>
          </cell>
          <cell r="DU10" t="str">
            <v>--</v>
          </cell>
          <cell r="DV10" t="str">
            <v>--</v>
          </cell>
          <cell r="DW10" t="str">
            <v>--</v>
          </cell>
          <cell r="DX10" t="str">
            <v>--</v>
          </cell>
          <cell r="DY10" t="str">
            <v>--</v>
          </cell>
          <cell r="DZ10" t="str">
            <v>--</v>
          </cell>
          <cell r="EA10" t="str">
            <v>--</v>
          </cell>
          <cell r="EB10" t="str">
            <v>--</v>
          </cell>
          <cell r="EC10" t="str">
            <v>--</v>
          </cell>
          <cell r="ED10" t="str">
            <v>--</v>
          </cell>
          <cell r="EE10" t="str">
            <v>--</v>
          </cell>
          <cell r="EF10" t="str">
            <v>--</v>
          </cell>
          <cell r="EG10" t="str">
            <v>--</v>
          </cell>
        </row>
        <row r="11">
          <cell r="A11" t="str">
            <v>00350074Amer. Ind. or Alaska Nat.</v>
          </cell>
          <cell r="B11" t="str">
            <v>00350074N</v>
          </cell>
          <cell r="C11" t="str">
            <v>0035</v>
          </cell>
          <cell r="D11" t="str">
            <v>00350074</v>
          </cell>
          <cell r="E11" t="str">
            <v>Boston</v>
          </cell>
          <cell r="F11" t="str">
            <v>Dearborn</v>
          </cell>
          <cell r="G11" t="str">
            <v>MS</v>
          </cell>
          <cell r="H11" t="str">
            <v>Boston - Dearborn (00350074)</v>
          </cell>
          <cell r="I11" t="str">
            <v>Amer. Ind. or Alaska Nat.</v>
          </cell>
          <cell r="J11" t="str">
            <v>00350074Amer. Ind. or Alaska Nat.</v>
          </cell>
          <cell r="K11" t="str">
            <v>--</v>
          </cell>
          <cell r="L11" t="str">
            <v>--</v>
          </cell>
          <cell r="M11" t="str">
            <v>--</v>
          </cell>
          <cell r="N11" t="str">
            <v>--</v>
          </cell>
          <cell r="O11" t="str">
            <v>--</v>
          </cell>
          <cell r="P11" t="str">
            <v>--</v>
          </cell>
          <cell r="Q11" t="str">
            <v>--</v>
          </cell>
          <cell r="R11" t="str">
            <v>--</v>
          </cell>
          <cell r="S11" t="str">
            <v>--</v>
          </cell>
          <cell r="T11" t="str">
            <v>--</v>
          </cell>
          <cell r="U11" t="str">
            <v>--</v>
          </cell>
          <cell r="V11" t="str">
            <v>--</v>
          </cell>
          <cell r="W11" t="str">
            <v>--</v>
          </cell>
          <cell r="X11" t="str">
            <v>--</v>
          </cell>
          <cell r="Y11" t="str">
            <v>--</v>
          </cell>
          <cell r="Z11" t="str">
            <v>--</v>
          </cell>
          <cell r="AA11" t="str">
            <v>--</v>
          </cell>
          <cell r="AB11" t="str">
            <v>--</v>
          </cell>
          <cell r="AC11" t="str">
            <v>--</v>
          </cell>
          <cell r="AD11" t="str">
            <v>--</v>
          </cell>
          <cell r="AE11" t="str">
            <v>--</v>
          </cell>
          <cell r="AF11" t="str">
            <v>--</v>
          </cell>
          <cell r="AG11" t="str">
            <v>--</v>
          </cell>
          <cell r="AH11" t="str">
            <v>--</v>
          </cell>
          <cell r="AI11" t="str">
            <v>--</v>
          </cell>
          <cell r="AJ11" t="str">
            <v>--</v>
          </cell>
          <cell r="AK11" t="str">
            <v>--</v>
          </cell>
          <cell r="AL11" t="str">
            <v>--</v>
          </cell>
          <cell r="AM11" t="str">
            <v>--</v>
          </cell>
          <cell r="AN11" t="str">
            <v>--</v>
          </cell>
          <cell r="AO11" t="str">
            <v>--</v>
          </cell>
          <cell r="AP11" t="str">
            <v>--</v>
          </cell>
          <cell r="AQ11" t="str">
            <v>--</v>
          </cell>
          <cell r="AR11" t="str">
            <v>--</v>
          </cell>
          <cell r="AS11" t="str">
            <v>--</v>
          </cell>
          <cell r="AT11" t="str">
            <v>--</v>
          </cell>
          <cell r="AU11" t="str">
            <v>--</v>
          </cell>
          <cell r="AV11" t="str">
            <v>--</v>
          </cell>
          <cell r="AW11" t="str">
            <v>--</v>
          </cell>
          <cell r="AX11" t="str">
            <v>--</v>
          </cell>
          <cell r="AY11" t="str">
            <v>--</v>
          </cell>
          <cell r="AZ11" t="str">
            <v>--</v>
          </cell>
          <cell r="BA11" t="str">
            <v>--</v>
          </cell>
          <cell r="BB11" t="str">
            <v>--</v>
          </cell>
          <cell r="BC11" t="str">
            <v>--</v>
          </cell>
          <cell r="BD11" t="str">
            <v>--</v>
          </cell>
          <cell r="BE11" t="str">
            <v>--</v>
          </cell>
          <cell r="BF11" t="str">
            <v>--</v>
          </cell>
          <cell r="BG11" t="str">
            <v>--</v>
          </cell>
          <cell r="BH11" t="str">
            <v>--</v>
          </cell>
          <cell r="BI11" t="str">
            <v>--</v>
          </cell>
          <cell r="BJ11" t="str">
            <v>--</v>
          </cell>
          <cell r="BK11" t="str">
            <v>--</v>
          </cell>
          <cell r="BL11" t="str">
            <v>--</v>
          </cell>
          <cell r="BM11" t="str">
            <v>--</v>
          </cell>
          <cell r="BN11" t="str">
            <v>--</v>
          </cell>
          <cell r="BO11" t="str">
            <v>--</v>
          </cell>
          <cell r="BP11" t="str">
            <v>--</v>
          </cell>
          <cell r="BQ11" t="str">
            <v>--</v>
          </cell>
          <cell r="BR11" t="str">
            <v>--</v>
          </cell>
          <cell r="BS11" t="str">
            <v>--</v>
          </cell>
          <cell r="BT11" t="str">
            <v>--</v>
          </cell>
          <cell r="BU11" t="str">
            <v>--</v>
          </cell>
          <cell r="BV11" t="str">
            <v>--</v>
          </cell>
          <cell r="BW11" t="str">
            <v>--</v>
          </cell>
          <cell r="BX11" t="str">
            <v>--</v>
          </cell>
          <cell r="BY11" t="str">
            <v>--</v>
          </cell>
          <cell r="BZ11" t="str">
            <v>--</v>
          </cell>
          <cell r="CA11" t="str">
            <v>--</v>
          </cell>
          <cell r="CB11" t="str">
            <v>--</v>
          </cell>
          <cell r="CC11" t="str">
            <v>--</v>
          </cell>
          <cell r="CD11" t="str">
            <v>--</v>
          </cell>
          <cell r="CE11" t="str">
            <v>--</v>
          </cell>
          <cell r="CF11" t="str">
            <v>--</v>
          </cell>
          <cell r="CG11" t="str">
            <v>--</v>
          </cell>
          <cell r="CH11" t="str">
            <v>--</v>
          </cell>
          <cell r="CI11" t="str">
            <v>--</v>
          </cell>
          <cell r="CJ11" t="str">
            <v>--</v>
          </cell>
          <cell r="CK11" t="str">
            <v>--</v>
          </cell>
          <cell r="CL11" t="str">
            <v>--</v>
          </cell>
          <cell r="CM11" t="str">
            <v>--</v>
          </cell>
          <cell r="CN11" t="str">
            <v>--</v>
          </cell>
          <cell r="CO11" t="str">
            <v>--</v>
          </cell>
          <cell r="CP11" t="str">
            <v>--</v>
          </cell>
          <cell r="CQ11" t="str">
            <v>--</v>
          </cell>
          <cell r="CR11" t="str">
            <v>--</v>
          </cell>
          <cell r="CS11" t="str">
            <v>--</v>
          </cell>
          <cell r="CT11" t="str">
            <v>--</v>
          </cell>
          <cell r="CU11" t="str">
            <v>--</v>
          </cell>
          <cell r="CV11" t="str">
            <v>--</v>
          </cell>
          <cell r="CW11" t="str">
            <v>--</v>
          </cell>
          <cell r="CX11" t="str">
            <v>--</v>
          </cell>
          <cell r="CY11" t="str">
            <v>--</v>
          </cell>
          <cell r="CZ11" t="str">
            <v>--</v>
          </cell>
          <cell r="DA11" t="str">
            <v>--</v>
          </cell>
          <cell r="DB11" t="str">
            <v>--</v>
          </cell>
          <cell r="DC11" t="str">
            <v>--</v>
          </cell>
          <cell r="DD11" t="str">
            <v>--</v>
          </cell>
          <cell r="DE11" t="str">
            <v>--</v>
          </cell>
          <cell r="DF11" t="str">
            <v>--</v>
          </cell>
          <cell r="DG11" t="str">
            <v>--</v>
          </cell>
          <cell r="DH11" t="str">
            <v>--</v>
          </cell>
          <cell r="DI11" t="str">
            <v>--</v>
          </cell>
          <cell r="DJ11" t="str">
            <v>--</v>
          </cell>
          <cell r="DK11" t="str">
            <v>--</v>
          </cell>
          <cell r="DL11" t="str">
            <v>--</v>
          </cell>
          <cell r="DM11" t="str">
            <v>--</v>
          </cell>
          <cell r="DN11" t="str">
            <v>--</v>
          </cell>
          <cell r="DO11" t="str">
            <v>--</v>
          </cell>
          <cell r="DP11" t="str">
            <v>--</v>
          </cell>
          <cell r="DQ11" t="str">
            <v>--</v>
          </cell>
          <cell r="DR11" t="str">
            <v>--</v>
          </cell>
          <cell r="DS11" t="str">
            <v>--</v>
          </cell>
          <cell r="DT11" t="str">
            <v>--</v>
          </cell>
          <cell r="DU11" t="str">
            <v>--</v>
          </cell>
          <cell r="DV11" t="str">
            <v>--</v>
          </cell>
          <cell r="DW11" t="str">
            <v>--</v>
          </cell>
          <cell r="DX11" t="str">
            <v>--</v>
          </cell>
          <cell r="DY11" t="str">
            <v>--</v>
          </cell>
          <cell r="DZ11" t="str">
            <v>--</v>
          </cell>
          <cell r="EA11" t="str">
            <v>--</v>
          </cell>
          <cell r="EB11" t="str">
            <v>--</v>
          </cell>
          <cell r="EC11" t="str">
            <v>--</v>
          </cell>
          <cell r="ED11" t="str">
            <v>--</v>
          </cell>
          <cell r="EE11" t="str">
            <v>--</v>
          </cell>
          <cell r="EF11" t="str">
            <v>--</v>
          </cell>
          <cell r="EG11" t="str">
            <v>--</v>
          </cell>
        </row>
        <row r="12">
          <cell r="A12" t="str">
            <v>00350074Nat. Haw. or Pacif. Isl.</v>
          </cell>
          <cell r="B12" t="str">
            <v>00350074P</v>
          </cell>
          <cell r="C12" t="str">
            <v>0035</v>
          </cell>
          <cell r="D12" t="str">
            <v>00350074</v>
          </cell>
          <cell r="E12" t="str">
            <v>Boston</v>
          </cell>
          <cell r="F12" t="str">
            <v>Dearborn</v>
          </cell>
          <cell r="G12" t="str">
            <v>MS</v>
          </cell>
          <cell r="H12" t="str">
            <v>Boston - Dearborn (00350074)</v>
          </cell>
          <cell r="I12" t="str">
            <v>Nat. Haw. or Pacif. Isl.</v>
          </cell>
          <cell r="J12" t="str">
            <v>00350074Nat. Haw. or Pacif. Isl.</v>
          </cell>
          <cell r="K12" t="str">
            <v>Level 4</v>
          </cell>
          <cell r="L12" t="str">
            <v>--</v>
          </cell>
          <cell r="M12" t="str">
            <v>--</v>
          </cell>
          <cell r="N12" t="str">
            <v>--</v>
          </cell>
          <cell r="O12" t="str">
            <v>--</v>
          </cell>
          <cell r="P12" t="str">
            <v>--</v>
          </cell>
          <cell r="Q12" t="str">
            <v>--</v>
          </cell>
          <cell r="R12" t="str">
            <v>--</v>
          </cell>
          <cell r="S12" t="str">
            <v>--</v>
          </cell>
          <cell r="T12" t="str">
            <v>--</v>
          </cell>
          <cell r="U12" t="str">
            <v>--</v>
          </cell>
          <cell r="V12" t="str">
            <v>--</v>
          </cell>
          <cell r="W12" t="str">
            <v>--</v>
          </cell>
          <cell r="X12" t="str">
            <v>--</v>
          </cell>
          <cell r="Y12" t="str">
            <v>--</v>
          </cell>
          <cell r="Z12" t="str">
            <v>--</v>
          </cell>
          <cell r="AA12" t="str">
            <v>--</v>
          </cell>
          <cell r="AB12" t="str">
            <v>--</v>
          </cell>
          <cell r="AC12" t="str">
            <v>--</v>
          </cell>
          <cell r="AD12" t="str">
            <v>--</v>
          </cell>
          <cell r="AE12" t="str">
            <v>--</v>
          </cell>
          <cell r="AF12" t="str">
            <v>--</v>
          </cell>
          <cell r="AG12" t="str">
            <v>--</v>
          </cell>
          <cell r="AH12" t="str">
            <v>--</v>
          </cell>
          <cell r="AI12" t="str">
            <v>--</v>
          </cell>
          <cell r="AJ12" t="str">
            <v>--</v>
          </cell>
          <cell r="AK12" t="str">
            <v>--</v>
          </cell>
          <cell r="AL12" t="str">
            <v>--</v>
          </cell>
          <cell r="AM12" t="str">
            <v>--</v>
          </cell>
          <cell r="AN12" t="str">
            <v>--</v>
          </cell>
          <cell r="AO12" t="str">
            <v>--</v>
          </cell>
          <cell r="AP12" t="str">
            <v>--</v>
          </cell>
          <cell r="AQ12" t="str">
            <v>--</v>
          </cell>
          <cell r="AR12" t="str">
            <v>--</v>
          </cell>
          <cell r="AS12" t="str">
            <v>--</v>
          </cell>
          <cell r="AT12" t="str">
            <v>--</v>
          </cell>
          <cell r="AU12" t="str">
            <v>--</v>
          </cell>
          <cell r="AV12" t="str">
            <v>--</v>
          </cell>
          <cell r="AW12" t="str">
            <v>--</v>
          </cell>
          <cell r="AX12" t="str">
            <v>--</v>
          </cell>
          <cell r="AY12" t="str">
            <v>--</v>
          </cell>
          <cell r="AZ12" t="str">
            <v>--</v>
          </cell>
          <cell r="BA12" t="str">
            <v>--</v>
          </cell>
          <cell r="BB12" t="str">
            <v>--</v>
          </cell>
          <cell r="BC12" t="str">
            <v>--</v>
          </cell>
          <cell r="BD12" t="str">
            <v>--</v>
          </cell>
          <cell r="BE12" t="str">
            <v>--</v>
          </cell>
          <cell r="BF12" t="str">
            <v>--</v>
          </cell>
          <cell r="BG12" t="str">
            <v>--</v>
          </cell>
          <cell r="BH12" t="str">
            <v>--</v>
          </cell>
          <cell r="BI12" t="str">
            <v>--</v>
          </cell>
          <cell r="BJ12" t="str">
            <v>--</v>
          </cell>
          <cell r="BK12" t="str">
            <v>--</v>
          </cell>
          <cell r="BL12" t="str">
            <v>--</v>
          </cell>
          <cell r="BM12" t="str">
            <v>--</v>
          </cell>
          <cell r="BN12" t="str">
            <v>--</v>
          </cell>
          <cell r="BO12" t="str">
            <v>--</v>
          </cell>
          <cell r="BP12" t="str">
            <v>--</v>
          </cell>
          <cell r="BQ12" t="str">
            <v>--</v>
          </cell>
          <cell r="BR12" t="str">
            <v>--</v>
          </cell>
          <cell r="BS12" t="str">
            <v>--</v>
          </cell>
          <cell r="BT12" t="str">
            <v>--</v>
          </cell>
          <cell r="BU12" t="str">
            <v>--</v>
          </cell>
          <cell r="BV12" t="str">
            <v>--</v>
          </cell>
          <cell r="BW12" t="str">
            <v>--</v>
          </cell>
          <cell r="BX12" t="str">
            <v>--</v>
          </cell>
          <cell r="BY12" t="str">
            <v>--</v>
          </cell>
          <cell r="BZ12" t="str">
            <v>--</v>
          </cell>
          <cell r="CA12" t="str">
            <v>--</v>
          </cell>
          <cell r="CB12" t="str">
            <v>--</v>
          </cell>
          <cell r="CC12" t="str">
            <v>--</v>
          </cell>
          <cell r="CD12" t="str">
            <v>--</v>
          </cell>
          <cell r="CE12" t="str">
            <v>--</v>
          </cell>
          <cell r="CF12" t="str">
            <v>--</v>
          </cell>
          <cell r="CG12" t="str">
            <v>--</v>
          </cell>
          <cell r="CH12" t="str">
            <v>--</v>
          </cell>
          <cell r="CI12" t="str">
            <v>--</v>
          </cell>
          <cell r="CJ12" t="str">
            <v>--</v>
          </cell>
          <cell r="CK12" t="str">
            <v>--</v>
          </cell>
          <cell r="CL12" t="str">
            <v>--</v>
          </cell>
          <cell r="CM12" t="str">
            <v>--</v>
          </cell>
          <cell r="CN12" t="str">
            <v>--</v>
          </cell>
          <cell r="CO12" t="str">
            <v>--</v>
          </cell>
          <cell r="CP12" t="str">
            <v>--</v>
          </cell>
          <cell r="CQ12" t="str">
            <v>--</v>
          </cell>
          <cell r="CR12" t="str">
            <v>--</v>
          </cell>
          <cell r="CS12" t="str">
            <v>--</v>
          </cell>
          <cell r="CT12" t="str">
            <v>--</v>
          </cell>
          <cell r="CU12" t="str">
            <v>--</v>
          </cell>
          <cell r="CV12" t="str">
            <v>--</v>
          </cell>
          <cell r="CW12" t="str">
            <v>--</v>
          </cell>
          <cell r="CX12" t="str">
            <v>--</v>
          </cell>
          <cell r="CY12" t="str">
            <v>--</v>
          </cell>
          <cell r="CZ12" t="str">
            <v>--</v>
          </cell>
          <cell r="DA12" t="str">
            <v>--</v>
          </cell>
          <cell r="DB12" t="str">
            <v>--</v>
          </cell>
          <cell r="DC12" t="str">
            <v>--</v>
          </cell>
          <cell r="DD12" t="str">
            <v>--</v>
          </cell>
          <cell r="DE12" t="str">
            <v>--</v>
          </cell>
          <cell r="DF12" t="str">
            <v>--</v>
          </cell>
          <cell r="DG12" t="str">
            <v>--</v>
          </cell>
          <cell r="DH12" t="str">
            <v>--</v>
          </cell>
          <cell r="DI12" t="str">
            <v>--</v>
          </cell>
          <cell r="DJ12" t="str">
            <v>--</v>
          </cell>
          <cell r="DK12" t="str">
            <v>--</v>
          </cell>
          <cell r="DL12" t="str">
            <v>--</v>
          </cell>
          <cell r="DM12" t="str">
            <v>--</v>
          </cell>
          <cell r="DN12" t="str">
            <v>--</v>
          </cell>
          <cell r="DO12" t="str">
            <v>--</v>
          </cell>
          <cell r="DP12" t="str">
            <v>--</v>
          </cell>
          <cell r="DQ12" t="str">
            <v>--</v>
          </cell>
          <cell r="DR12" t="str">
            <v>--</v>
          </cell>
          <cell r="DS12" t="str">
            <v>--</v>
          </cell>
          <cell r="DT12" t="str">
            <v>--</v>
          </cell>
          <cell r="DU12" t="str">
            <v>--</v>
          </cell>
          <cell r="DV12" t="str">
            <v>--</v>
          </cell>
          <cell r="DW12" t="str">
            <v>--</v>
          </cell>
          <cell r="DX12" t="str">
            <v>--</v>
          </cell>
          <cell r="DY12" t="str">
            <v>--</v>
          </cell>
          <cell r="DZ12" t="str">
            <v>--</v>
          </cell>
          <cell r="EA12" t="str">
            <v>--</v>
          </cell>
          <cell r="EB12" t="str">
            <v>--</v>
          </cell>
          <cell r="EC12" t="str">
            <v>--</v>
          </cell>
          <cell r="ED12" t="str">
            <v>--</v>
          </cell>
          <cell r="EE12" t="str">
            <v>--</v>
          </cell>
          <cell r="EF12" t="str">
            <v>--</v>
          </cell>
          <cell r="EG12" t="str">
            <v>--</v>
          </cell>
        </row>
        <row r="13">
          <cell r="A13" t="str">
            <v>00350074High needs</v>
          </cell>
          <cell r="B13" t="str">
            <v>00350074S</v>
          </cell>
          <cell r="C13" t="str">
            <v>0035</v>
          </cell>
          <cell r="D13" t="str">
            <v>00350074</v>
          </cell>
          <cell r="E13" t="str">
            <v>Boston</v>
          </cell>
          <cell r="F13" t="str">
            <v>Dearborn</v>
          </cell>
          <cell r="G13" t="str">
            <v>MS</v>
          </cell>
          <cell r="H13" t="str">
            <v>Boston - Dearborn (00350074)</v>
          </cell>
          <cell r="I13" t="str">
            <v>High needs</v>
          </cell>
          <cell r="J13" t="str">
            <v>00350074High needs</v>
          </cell>
          <cell r="K13" t="str">
            <v>Level 4</v>
          </cell>
          <cell r="L13">
            <v>63.8</v>
          </cell>
          <cell r="M13">
            <v>66.8</v>
          </cell>
          <cell r="N13">
            <v>57.1</v>
          </cell>
          <cell r="O13">
            <v>69.8</v>
          </cell>
          <cell r="P13">
            <v>64.099999999999994</v>
          </cell>
          <cell r="Q13">
            <v>74.2</v>
          </cell>
          <cell r="R13">
            <v>77.2</v>
          </cell>
          <cell r="S13">
            <v>80.2</v>
          </cell>
          <cell r="T13">
            <v>83.2</v>
          </cell>
          <cell r="U13">
            <v>51</v>
          </cell>
          <cell r="V13">
            <v>55.1</v>
          </cell>
          <cell r="W13">
            <v>48.9</v>
          </cell>
          <cell r="X13">
            <v>59.2</v>
          </cell>
          <cell r="Y13">
            <v>52.2</v>
          </cell>
          <cell r="Z13">
            <v>64.599999999999994</v>
          </cell>
          <cell r="AA13">
            <v>68.599999999999994</v>
          </cell>
          <cell r="AB13">
            <v>72.7</v>
          </cell>
          <cell r="AC13">
            <v>76.8</v>
          </cell>
          <cell r="AD13">
            <v>35.799999999999997</v>
          </cell>
          <cell r="AE13">
            <v>41.2</v>
          </cell>
          <cell r="AF13">
            <v>27.4</v>
          </cell>
          <cell r="AG13">
            <v>46.5</v>
          </cell>
          <cell r="AH13">
            <v>30.5</v>
          </cell>
          <cell r="AI13">
            <v>53.2</v>
          </cell>
          <cell r="AJ13">
            <v>58.5</v>
          </cell>
          <cell r="AK13">
            <v>63.9</v>
          </cell>
          <cell r="AL13">
            <v>69.2</v>
          </cell>
          <cell r="AM13" t="str">
            <v>--</v>
          </cell>
          <cell r="AN13" t="str">
            <v>--</v>
          </cell>
          <cell r="AO13" t="str">
            <v>--</v>
          </cell>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t="str">
            <v>--</v>
          </cell>
          <cell r="BF13" t="str">
            <v>--</v>
          </cell>
          <cell r="BG13" t="str">
            <v>--</v>
          </cell>
          <cell r="BH13" t="str">
            <v>--</v>
          </cell>
          <cell r="BI13" t="str">
            <v>--</v>
          </cell>
          <cell r="BJ13" t="str">
            <v>--</v>
          </cell>
          <cell r="BK13" t="str">
            <v>--</v>
          </cell>
          <cell r="BL13" t="str">
            <v>--</v>
          </cell>
          <cell r="BM13" t="str">
            <v>--</v>
          </cell>
          <cell r="BN13">
            <v>53.5</v>
          </cell>
          <cell r="BO13">
            <v>51</v>
          </cell>
          <cell r="BP13">
            <v>43.5</v>
          </cell>
          <cell r="BQ13">
            <v>51</v>
          </cell>
          <cell r="BR13">
            <v>55.5</v>
          </cell>
          <cell r="BS13">
            <v>60</v>
          </cell>
          <cell r="BT13">
            <v>60</v>
          </cell>
          <cell r="BU13">
            <v>60</v>
          </cell>
          <cell r="BV13">
            <v>60</v>
          </cell>
          <cell r="BW13">
            <v>59</v>
          </cell>
          <cell r="BX13">
            <v>51</v>
          </cell>
          <cell r="BY13">
            <v>48</v>
          </cell>
          <cell r="BZ13">
            <v>51</v>
          </cell>
          <cell r="CA13">
            <v>48</v>
          </cell>
          <cell r="CB13">
            <v>60</v>
          </cell>
          <cell r="CC13">
            <v>60</v>
          </cell>
          <cell r="CD13">
            <v>60</v>
          </cell>
          <cell r="CE13">
            <v>60</v>
          </cell>
          <cell r="CF13">
            <v>25.2</v>
          </cell>
          <cell r="CG13">
            <v>22.7</v>
          </cell>
          <cell r="CH13">
            <v>34.200000000000003</v>
          </cell>
          <cell r="CI13">
            <v>30.8</v>
          </cell>
          <cell r="CJ13">
            <v>27.9</v>
          </cell>
          <cell r="CK13">
            <v>25.1</v>
          </cell>
          <cell r="CL13">
            <v>22.6</v>
          </cell>
          <cell r="CM13">
            <v>20.3</v>
          </cell>
          <cell r="CN13">
            <v>18.3</v>
          </cell>
          <cell r="CO13">
            <v>46.5</v>
          </cell>
          <cell r="CP13">
            <v>41.9</v>
          </cell>
          <cell r="CQ13">
            <v>50</v>
          </cell>
          <cell r="CR13">
            <v>45</v>
          </cell>
          <cell r="CS13">
            <v>46.1</v>
          </cell>
          <cell r="CT13">
            <v>41.5</v>
          </cell>
          <cell r="CU13">
            <v>37.299999999999997</v>
          </cell>
          <cell r="CV13">
            <v>33.6</v>
          </cell>
          <cell r="CW13">
            <v>30.2</v>
          </cell>
          <cell r="CX13">
            <v>64.599999999999994</v>
          </cell>
          <cell r="CY13">
            <v>58.1</v>
          </cell>
          <cell r="CZ13">
            <v>82.3</v>
          </cell>
          <cell r="DA13">
            <v>74.099999999999994</v>
          </cell>
          <cell r="DB13">
            <v>74.400000000000006</v>
          </cell>
          <cell r="DC13">
            <v>67</v>
          </cell>
          <cell r="DD13">
            <v>60.3</v>
          </cell>
          <cell r="DE13">
            <v>54.2</v>
          </cell>
          <cell r="DF13">
            <v>48.8</v>
          </cell>
          <cell r="DG13">
            <v>1</v>
          </cell>
          <cell r="DH13">
            <v>1.1000000000000001</v>
          </cell>
          <cell r="DI13">
            <v>2.2000000000000002</v>
          </cell>
          <cell r="DJ13">
            <v>2.4</v>
          </cell>
          <cell r="DK13">
            <v>2.5</v>
          </cell>
          <cell r="DL13">
            <v>2.8</v>
          </cell>
          <cell r="DM13">
            <v>3</v>
          </cell>
          <cell r="DN13">
            <v>3.3</v>
          </cell>
          <cell r="DO13">
            <v>3.7</v>
          </cell>
          <cell r="DP13">
            <v>5.4</v>
          </cell>
          <cell r="DQ13">
            <v>5.9</v>
          </cell>
          <cell r="DR13">
            <v>8.1999999999999993</v>
          </cell>
          <cell r="DS13">
            <v>9</v>
          </cell>
          <cell r="DT13">
            <v>4.9000000000000004</v>
          </cell>
          <cell r="DU13">
            <v>5.4</v>
          </cell>
          <cell r="DV13">
            <v>5.9</v>
          </cell>
          <cell r="DW13">
            <v>6.5</v>
          </cell>
          <cell r="DX13">
            <v>7.2</v>
          </cell>
          <cell r="DY13">
            <v>0</v>
          </cell>
          <cell r="DZ13">
            <v>1</v>
          </cell>
          <cell r="EA13">
            <v>0</v>
          </cell>
          <cell r="EB13">
            <v>1</v>
          </cell>
          <cell r="EC13">
            <v>0</v>
          </cell>
          <cell r="ED13">
            <v>1</v>
          </cell>
          <cell r="EE13">
            <v>1.1000000000000001</v>
          </cell>
          <cell r="EF13">
            <v>1.2</v>
          </cell>
          <cell r="EG13">
            <v>1.3</v>
          </cell>
        </row>
        <row r="14">
          <cell r="A14" t="str">
            <v>00350074All students</v>
          </cell>
          <cell r="B14" t="str">
            <v>00350074T</v>
          </cell>
          <cell r="C14" t="str">
            <v>0035</v>
          </cell>
          <cell r="D14" t="str">
            <v>00350074</v>
          </cell>
          <cell r="E14" t="str">
            <v>Boston</v>
          </cell>
          <cell r="F14" t="str">
            <v>Dearborn</v>
          </cell>
          <cell r="G14" t="str">
            <v>MS</v>
          </cell>
          <cell r="H14" t="str">
            <v>Boston - Dearborn (00350074)</v>
          </cell>
          <cell r="I14" t="str">
            <v>All students</v>
          </cell>
          <cell r="J14" t="str">
            <v>00350074All students</v>
          </cell>
          <cell r="K14" t="str">
            <v>Level 4</v>
          </cell>
          <cell r="L14">
            <v>64.5</v>
          </cell>
          <cell r="M14">
            <v>67.5</v>
          </cell>
          <cell r="N14">
            <v>58.4</v>
          </cell>
          <cell r="O14">
            <v>70.400000000000006</v>
          </cell>
          <cell r="P14">
            <v>64.900000000000006</v>
          </cell>
          <cell r="Q14">
            <v>74.7</v>
          </cell>
          <cell r="R14">
            <v>77.599999999999994</v>
          </cell>
          <cell r="S14">
            <v>80.599999999999994</v>
          </cell>
          <cell r="T14">
            <v>83.6</v>
          </cell>
          <cell r="U14">
            <v>51.8</v>
          </cell>
          <cell r="V14">
            <v>55.8</v>
          </cell>
          <cell r="W14">
            <v>50.8</v>
          </cell>
          <cell r="X14">
            <v>59.8</v>
          </cell>
          <cell r="Y14">
            <v>52.3</v>
          </cell>
          <cell r="Z14">
            <v>65.2</v>
          </cell>
          <cell r="AA14">
            <v>69.2</v>
          </cell>
          <cell r="AB14">
            <v>73.2</v>
          </cell>
          <cell r="AC14">
            <v>77.2</v>
          </cell>
          <cell r="AD14">
            <v>36</v>
          </cell>
          <cell r="AE14">
            <v>41.3</v>
          </cell>
          <cell r="AF14">
            <v>29.5</v>
          </cell>
          <cell r="AG14">
            <v>46.7</v>
          </cell>
          <cell r="AH14">
            <v>30.5</v>
          </cell>
          <cell r="AI14">
            <v>53.3</v>
          </cell>
          <cell r="AJ14">
            <v>58.6</v>
          </cell>
          <cell r="AK14">
            <v>64</v>
          </cell>
          <cell r="AL14">
            <v>69.3</v>
          </cell>
          <cell r="AM14" t="str">
            <v>--</v>
          </cell>
          <cell r="AN14" t="str">
            <v>--</v>
          </cell>
          <cell r="AO14" t="str">
            <v>--</v>
          </cell>
          <cell r="AP14" t="str">
            <v>--</v>
          </cell>
          <cell r="AQ14" t="str">
            <v>--</v>
          </cell>
          <cell r="AR14" t="str">
            <v>--</v>
          </cell>
          <cell r="AS14" t="str">
            <v>--</v>
          </cell>
          <cell r="AT14" t="str">
            <v>--</v>
          </cell>
          <cell r="AU14" t="str">
            <v>--</v>
          </cell>
          <cell r="AV14" t="str">
            <v>--</v>
          </cell>
          <cell r="AW14" t="str">
            <v>--</v>
          </cell>
          <cell r="AX14" t="str">
            <v>--</v>
          </cell>
          <cell r="AY14" t="str">
            <v>--</v>
          </cell>
          <cell r="AZ14" t="str">
            <v>--</v>
          </cell>
          <cell r="BA14" t="str">
            <v>--</v>
          </cell>
          <cell r="BB14" t="str">
            <v>--</v>
          </cell>
          <cell r="BC14" t="str">
            <v>--</v>
          </cell>
          <cell r="BD14" t="str">
            <v>--</v>
          </cell>
          <cell r="BE14" t="str">
            <v>--</v>
          </cell>
          <cell r="BF14" t="str">
            <v>--</v>
          </cell>
          <cell r="BG14" t="str">
            <v>--</v>
          </cell>
          <cell r="BH14" t="str">
            <v>--</v>
          </cell>
          <cell r="BI14" t="str">
            <v>--</v>
          </cell>
          <cell r="BJ14" t="str">
            <v>--</v>
          </cell>
          <cell r="BK14" t="str">
            <v>--</v>
          </cell>
          <cell r="BL14" t="str">
            <v>--</v>
          </cell>
          <cell r="BM14" t="str">
            <v>--</v>
          </cell>
          <cell r="BN14">
            <v>54</v>
          </cell>
          <cell r="BO14">
            <v>51</v>
          </cell>
          <cell r="BP14">
            <v>44</v>
          </cell>
          <cell r="BQ14">
            <v>51</v>
          </cell>
          <cell r="BR14">
            <v>55</v>
          </cell>
          <cell r="BS14">
            <v>60</v>
          </cell>
          <cell r="BT14">
            <v>60</v>
          </cell>
          <cell r="BU14">
            <v>60</v>
          </cell>
          <cell r="BV14">
            <v>60</v>
          </cell>
          <cell r="BW14">
            <v>60</v>
          </cell>
          <cell r="BX14">
            <v>51</v>
          </cell>
          <cell r="BY14">
            <v>50.5</v>
          </cell>
          <cell r="BZ14">
            <v>51</v>
          </cell>
          <cell r="CA14">
            <v>48</v>
          </cell>
          <cell r="CB14">
            <v>60</v>
          </cell>
          <cell r="CC14">
            <v>60</v>
          </cell>
          <cell r="CD14">
            <v>60</v>
          </cell>
          <cell r="CE14">
            <v>60</v>
          </cell>
          <cell r="CF14">
            <v>24.6</v>
          </cell>
          <cell r="CG14">
            <v>22.1</v>
          </cell>
          <cell r="CH14">
            <v>33.200000000000003</v>
          </cell>
          <cell r="CI14">
            <v>29.9</v>
          </cell>
          <cell r="CJ14">
            <v>27</v>
          </cell>
          <cell r="CK14">
            <v>24.3</v>
          </cell>
          <cell r="CL14">
            <v>21.9</v>
          </cell>
          <cell r="CM14">
            <v>19.7</v>
          </cell>
          <cell r="CN14">
            <v>17.7</v>
          </cell>
          <cell r="CO14">
            <v>45.4</v>
          </cell>
          <cell r="CP14">
            <v>40.9</v>
          </cell>
          <cell r="CQ14">
            <v>48</v>
          </cell>
          <cell r="CR14">
            <v>43.2</v>
          </cell>
          <cell r="CS14">
            <v>46</v>
          </cell>
          <cell r="CT14">
            <v>41.4</v>
          </cell>
          <cell r="CU14">
            <v>37.299999999999997</v>
          </cell>
          <cell r="CV14">
            <v>33.5</v>
          </cell>
          <cell r="CW14">
            <v>30.2</v>
          </cell>
          <cell r="CX14">
            <v>63.6</v>
          </cell>
          <cell r="CY14">
            <v>57.2</v>
          </cell>
          <cell r="CZ14">
            <v>78.8</v>
          </cell>
          <cell r="DA14">
            <v>70.900000000000006</v>
          </cell>
          <cell r="DB14">
            <v>74.400000000000006</v>
          </cell>
          <cell r="DC14">
            <v>67</v>
          </cell>
          <cell r="DD14">
            <v>60.3</v>
          </cell>
          <cell r="DE14">
            <v>54.2</v>
          </cell>
          <cell r="DF14">
            <v>48.8</v>
          </cell>
          <cell r="DG14">
            <v>1.4</v>
          </cell>
          <cell r="DH14">
            <v>1.5</v>
          </cell>
          <cell r="DI14">
            <v>3.1</v>
          </cell>
          <cell r="DJ14">
            <v>3.4</v>
          </cell>
          <cell r="DK14">
            <v>2.8</v>
          </cell>
          <cell r="DL14">
            <v>3.1</v>
          </cell>
          <cell r="DM14">
            <v>3.4</v>
          </cell>
          <cell r="DN14">
            <v>3.7</v>
          </cell>
          <cell r="DO14">
            <v>4.0999999999999996</v>
          </cell>
          <cell r="DP14">
            <v>5.3</v>
          </cell>
          <cell r="DQ14">
            <v>5.8</v>
          </cell>
          <cell r="DR14">
            <v>10.199999999999999</v>
          </cell>
          <cell r="DS14">
            <v>11.2</v>
          </cell>
          <cell r="DT14">
            <v>5.2</v>
          </cell>
          <cell r="DU14">
            <v>5.7</v>
          </cell>
          <cell r="DV14">
            <v>6.3</v>
          </cell>
          <cell r="DW14">
            <v>6.9</v>
          </cell>
          <cell r="DX14">
            <v>7.6</v>
          </cell>
          <cell r="DY14">
            <v>0</v>
          </cell>
          <cell r="DZ14">
            <v>1</v>
          </cell>
          <cell r="EA14">
            <v>0</v>
          </cell>
          <cell r="EB14">
            <v>1</v>
          </cell>
          <cell r="EC14">
            <v>0</v>
          </cell>
          <cell r="ED14">
            <v>1</v>
          </cell>
          <cell r="EE14">
            <v>1.1000000000000001</v>
          </cell>
          <cell r="EF14">
            <v>1.2</v>
          </cell>
          <cell r="EG14">
            <v>1.3</v>
          </cell>
        </row>
        <row r="15">
          <cell r="A15" t="str">
            <v>00350094Asian</v>
          </cell>
          <cell r="B15" t="str">
            <v>00350094A</v>
          </cell>
          <cell r="C15" t="str">
            <v>0035</v>
          </cell>
          <cell r="D15" t="str">
            <v>00350094</v>
          </cell>
          <cell r="E15" t="str">
            <v>Boston</v>
          </cell>
          <cell r="F15" t="str">
            <v>Elihu Greenwood Leadership Academy</v>
          </cell>
          <cell r="G15" t="str">
            <v>ES</v>
          </cell>
          <cell r="H15" t="str">
            <v>Boston - Elihu Greenwood Leadership Academy (00350094)</v>
          </cell>
          <cell r="I15" t="str">
            <v>Asian</v>
          </cell>
          <cell r="J15" t="str">
            <v>00350094Asian</v>
          </cell>
          <cell r="K15" t="str">
            <v>--</v>
          </cell>
          <cell r="L15" t="str">
            <v>--</v>
          </cell>
          <cell r="M15" t="str">
            <v>--</v>
          </cell>
          <cell r="N15" t="str">
            <v>--</v>
          </cell>
          <cell r="O15" t="str">
            <v>--</v>
          </cell>
          <cell r="P15" t="str">
            <v>--</v>
          </cell>
          <cell r="Q15" t="str">
            <v>--</v>
          </cell>
          <cell r="R15" t="str">
            <v>--</v>
          </cell>
          <cell r="S15" t="str">
            <v>--</v>
          </cell>
          <cell r="T15" t="str">
            <v>--</v>
          </cell>
          <cell r="U15" t="str">
            <v>--</v>
          </cell>
          <cell r="V15" t="str">
            <v>--</v>
          </cell>
          <cell r="W15" t="str">
            <v>--</v>
          </cell>
          <cell r="X15" t="str">
            <v>--</v>
          </cell>
          <cell r="Y15" t="str">
            <v>--</v>
          </cell>
          <cell r="Z15" t="str">
            <v>--</v>
          </cell>
          <cell r="AA15" t="str">
            <v>--</v>
          </cell>
          <cell r="AB15" t="str">
            <v>--</v>
          </cell>
          <cell r="AC15" t="str">
            <v>--</v>
          </cell>
          <cell r="AD15" t="str">
            <v>--</v>
          </cell>
          <cell r="AE15" t="str">
            <v>--</v>
          </cell>
          <cell r="AF15" t="str">
            <v>--</v>
          </cell>
          <cell r="AG15" t="str">
            <v>--</v>
          </cell>
          <cell r="AH15" t="str">
            <v>--</v>
          </cell>
          <cell r="AI15" t="str">
            <v>--</v>
          </cell>
          <cell r="AJ15" t="str">
            <v>--</v>
          </cell>
          <cell r="AK15" t="str">
            <v>--</v>
          </cell>
          <cell r="AL15" t="str">
            <v>--</v>
          </cell>
          <cell r="AM15" t="str">
            <v>--</v>
          </cell>
          <cell r="AN15" t="str">
            <v>--</v>
          </cell>
          <cell r="AO15" t="str">
            <v>--</v>
          </cell>
          <cell r="AP15" t="str">
            <v>--</v>
          </cell>
          <cell r="AQ15" t="str">
            <v>--</v>
          </cell>
          <cell r="AR15" t="str">
            <v>--</v>
          </cell>
          <cell r="AS15" t="str">
            <v>--</v>
          </cell>
          <cell r="AT15" t="str">
            <v>--</v>
          </cell>
          <cell r="AU15" t="str">
            <v>--</v>
          </cell>
          <cell r="AV15" t="str">
            <v>--</v>
          </cell>
          <cell r="AW15" t="str">
            <v>--</v>
          </cell>
          <cell r="AX15" t="str">
            <v>--</v>
          </cell>
          <cell r="AY15" t="str">
            <v>--</v>
          </cell>
          <cell r="AZ15" t="str">
            <v>--</v>
          </cell>
          <cell r="BA15" t="str">
            <v>--</v>
          </cell>
          <cell r="BB15" t="str">
            <v>--</v>
          </cell>
          <cell r="BC15" t="str">
            <v>--</v>
          </cell>
          <cell r="BD15" t="str">
            <v>--</v>
          </cell>
          <cell r="BE15" t="str">
            <v>--</v>
          </cell>
          <cell r="BF15" t="str">
            <v>--</v>
          </cell>
          <cell r="BG15" t="str">
            <v>--</v>
          </cell>
          <cell r="BH15" t="str">
            <v>--</v>
          </cell>
          <cell r="BI15" t="str">
            <v>--</v>
          </cell>
          <cell r="BJ15" t="str">
            <v>--</v>
          </cell>
          <cell r="BK15" t="str">
            <v>--</v>
          </cell>
          <cell r="BL15" t="str">
            <v>--</v>
          </cell>
          <cell r="BM15" t="str">
            <v>--</v>
          </cell>
          <cell r="BN15" t="str">
            <v>--</v>
          </cell>
          <cell r="BO15" t="str">
            <v>--</v>
          </cell>
          <cell r="BP15" t="str">
            <v>--</v>
          </cell>
          <cell r="BQ15" t="str">
            <v>--</v>
          </cell>
          <cell r="BR15" t="str">
            <v>--</v>
          </cell>
          <cell r="BS15" t="str">
            <v>--</v>
          </cell>
          <cell r="BT15" t="str">
            <v>--</v>
          </cell>
          <cell r="BU15" t="str">
            <v>--</v>
          </cell>
          <cell r="BV15" t="str">
            <v>--</v>
          </cell>
          <cell r="BW15" t="str">
            <v>--</v>
          </cell>
          <cell r="BX15" t="str">
            <v>--</v>
          </cell>
          <cell r="BY15" t="str">
            <v>--</v>
          </cell>
          <cell r="BZ15" t="str">
            <v>--</v>
          </cell>
          <cell r="CA15" t="str">
            <v>--</v>
          </cell>
          <cell r="CB15" t="str">
            <v>--</v>
          </cell>
          <cell r="CC15" t="str">
            <v>--</v>
          </cell>
          <cell r="CD15" t="str">
            <v>--</v>
          </cell>
          <cell r="CE15" t="str">
            <v>--</v>
          </cell>
          <cell r="CF15" t="str">
            <v>--</v>
          </cell>
          <cell r="CG15" t="str">
            <v>--</v>
          </cell>
          <cell r="CH15" t="str">
            <v>--</v>
          </cell>
          <cell r="CI15" t="str">
            <v>--</v>
          </cell>
          <cell r="CJ15" t="str">
            <v>--</v>
          </cell>
          <cell r="CK15" t="str">
            <v>--</v>
          </cell>
          <cell r="CL15" t="str">
            <v>--</v>
          </cell>
          <cell r="CM15" t="str">
            <v>--</v>
          </cell>
          <cell r="CN15" t="str">
            <v>--</v>
          </cell>
          <cell r="CO15" t="str">
            <v>--</v>
          </cell>
          <cell r="CP15" t="str">
            <v>--</v>
          </cell>
          <cell r="CQ15" t="str">
            <v>--</v>
          </cell>
          <cell r="CR15" t="str">
            <v>--</v>
          </cell>
          <cell r="CS15" t="str">
            <v>--</v>
          </cell>
          <cell r="CT15" t="str">
            <v>--</v>
          </cell>
          <cell r="CU15" t="str">
            <v>--</v>
          </cell>
          <cell r="CV15" t="str">
            <v>--</v>
          </cell>
          <cell r="CW15" t="str">
            <v>--</v>
          </cell>
          <cell r="CX15" t="str">
            <v>--</v>
          </cell>
          <cell r="CY15" t="str">
            <v>--</v>
          </cell>
          <cell r="CZ15" t="str">
            <v>--</v>
          </cell>
          <cell r="DA15" t="str">
            <v>--</v>
          </cell>
          <cell r="DB15" t="str">
            <v>--</v>
          </cell>
          <cell r="DC15" t="str">
            <v>--</v>
          </cell>
          <cell r="DD15" t="str">
            <v>--</v>
          </cell>
          <cell r="DE15" t="str">
            <v>--</v>
          </cell>
          <cell r="DF15" t="str">
            <v>--</v>
          </cell>
          <cell r="DG15" t="str">
            <v>--</v>
          </cell>
          <cell r="DH15" t="str">
            <v>--</v>
          </cell>
          <cell r="DI15" t="str">
            <v>--</v>
          </cell>
          <cell r="DJ15" t="str">
            <v>--</v>
          </cell>
          <cell r="DK15" t="str">
            <v>--</v>
          </cell>
          <cell r="DL15" t="str">
            <v>--</v>
          </cell>
          <cell r="DM15" t="str">
            <v>--</v>
          </cell>
          <cell r="DN15" t="str">
            <v>--</v>
          </cell>
          <cell r="DO15" t="str">
            <v>--</v>
          </cell>
          <cell r="DP15" t="str">
            <v>--</v>
          </cell>
          <cell r="DQ15" t="str">
            <v>--</v>
          </cell>
          <cell r="DR15" t="str">
            <v>--</v>
          </cell>
          <cell r="DS15" t="str">
            <v>--</v>
          </cell>
          <cell r="DT15" t="str">
            <v>--</v>
          </cell>
          <cell r="DU15" t="str">
            <v>--</v>
          </cell>
          <cell r="DV15" t="str">
            <v>--</v>
          </cell>
          <cell r="DW15" t="str">
            <v>--</v>
          </cell>
          <cell r="DX15" t="str">
            <v>--</v>
          </cell>
          <cell r="DY15" t="str">
            <v>--</v>
          </cell>
          <cell r="DZ15" t="str">
            <v>--</v>
          </cell>
          <cell r="EA15" t="str">
            <v>--</v>
          </cell>
          <cell r="EB15" t="str">
            <v>--</v>
          </cell>
          <cell r="EC15" t="str">
            <v>--</v>
          </cell>
          <cell r="ED15" t="str">
            <v>--</v>
          </cell>
          <cell r="EE15" t="str">
            <v>--</v>
          </cell>
          <cell r="EF15" t="str">
            <v>--</v>
          </cell>
          <cell r="EG15" t="str">
            <v>--</v>
          </cell>
        </row>
        <row r="16">
          <cell r="A16" t="str">
            <v>00350094Afr. Amer/Black</v>
          </cell>
          <cell r="B16" t="str">
            <v>00350094B</v>
          </cell>
          <cell r="C16" t="str">
            <v>0035</v>
          </cell>
          <cell r="D16" t="str">
            <v>00350094</v>
          </cell>
          <cell r="E16" t="str">
            <v>Boston</v>
          </cell>
          <cell r="F16" t="str">
            <v>Elihu Greenwood Leadership Academy</v>
          </cell>
          <cell r="G16" t="str">
            <v>ES</v>
          </cell>
          <cell r="H16" t="str">
            <v>Boston - Elihu Greenwood Leadership Academy (00350094)</v>
          </cell>
          <cell r="I16" t="str">
            <v>Afr. Amer/Black</v>
          </cell>
          <cell r="J16" t="str">
            <v>00350094Afr. Amer/Black</v>
          </cell>
          <cell r="K16" t="str">
            <v>--</v>
          </cell>
          <cell r="L16">
            <v>65</v>
          </cell>
          <cell r="M16">
            <v>67.900000000000006</v>
          </cell>
          <cell r="N16">
            <v>63.1</v>
          </cell>
          <cell r="O16">
            <v>70.8</v>
          </cell>
          <cell r="P16">
            <v>72.3</v>
          </cell>
          <cell r="Q16">
            <v>73.8</v>
          </cell>
          <cell r="R16">
            <v>76.7</v>
          </cell>
          <cell r="S16">
            <v>79.599999999999994</v>
          </cell>
          <cell r="T16">
            <v>82.5</v>
          </cell>
          <cell r="U16">
            <v>59.4</v>
          </cell>
          <cell r="V16">
            <v>62.8</v>
          </cell>
          <cell r="W16">
            <v>55.2</v>
          </cell>
          <cell r="X16">
            <v>66.2</v>
          </cell>
          <cell r="Y16">
            <v>67.599999999999994</v>
          </cell>
          <cell r="Z16">
            <v>69.599999999999994</v>
          </cell>
          <cell r="AA16">
            <v>72.900000000000006</v>
          </cell>
          <cell r="AB16">
            <v>76.3</v>
          </cell>
          <cell r="AC16">
            <v>79.7</v>
          </cell>
          <cell r="AD16">
            <v>37.1</v>
          </cell>
          <cell r="AE16">
            <v>42.3</v>
          </cell>
          <cell r="AF16">
            <v>39.9</v>
          </cell>
          <cell r="AG16">
            <v>47.6</v>
          </cell>
          <cell r="AH16">
            <v>69</v>
          </cell>
          <cell r="AI16">
            <v>52.8</v>
          </cell>
          <cell r="AJ16">
            <v>58.1</v>
          </cell>
          <cell r="AK16">
            <v>63.3</v>
          </cell>
          <cell r="AL16">
            <v>68.599999999999994</v>
          </cell>
          <cell r="AM16" t="str">
            <v>--</v>
          </cell>
          <cell r="AN16" t="str">
            <v>--</v>
          </cell>
          <cell r="AO16" t="str">
            <v>--</v>
          </cell>
          <cell r="AP16" t="str">
            <v>--</v>
          </cell>
          <cell r="AQ16" t="str">
            <v>--</v>
          </cell>
          <cell r="AR16" t="str">
            <v>--</v>
          </cell>
          <cell r="AS16" t="str">
            <v>--</v>
          </cell>
          <cell r="AT16" t="str">
            <v>--</v>
          </cell>
          <cell r="AU16" t="str">
            <v>--</v>
          </cell>
          <cell r="AV16" t="str">
            <v>--</v>
          </cell>
          <cell r="AW16" t="str">
            <v>--</v>
          </cell>
          <cell r="AX16" t="str">
            <v>--</v>
          </cell>
          <cell r="AY16" t="str">
            <v>--</v>
          </cell>
          <cell r="AZ16" t="str">
            <v>--</v>
          </cell>
          <cell r="BA16" t="str">
            <v>--</v>
          </cell>
          <cell r="BB16" t="str">
            <v>--</v>
          </cell>
          <cell r="BC16" t="str">
            <v>--</v>
          </cell>
          <cell r="BD16" t="str">
            <v>--</v>
          </cell>
          <cell r="BE16" t="str">
            <v>--</v>
          </cell>
          <cell r="BF16" t="str">
            <v>--</v>
          </cell>
          <cell r="BG16" t="str">
            <v>--</v>
          </cell>
          <cell r="BH16" t="str">
            <v>--</v>
          </cell>
          <cell r="BI16" t="str">
            <v>--</v>
          </cell>
          <cell r="BJ16" t="str">
            <v>--</v>
          </cell>
          <cell r="BK16" t="str">
            <v>--</v>
          </cell>
          <cell r="BL16" t="str">
            <v>--</v>
          </cell>
          <cell r="BM16" t="str">
            <v>--</v>
          </cell>
          <cell r="BN16">
            <v>44</v>
          </cell>
          <cell r="BO16">
            <v>51</v>
          </cell>
          <cell r="BP16">
            <v>49</v>
          </cell>
          <cell r="BQ16">
            <v>51</v>
          </cell>
          <cell r="BR16">
            <v>49</v>
          </cell>
          <cell r="BS16">
            <v>51</v>
          </cell>
          <cell r="BT16">
            <v>51</v>
          </cell>
          <cell r="BU16">
            <v>51</v>
          </cell>
          <cell r="BV16">
            <v>51</v>
          </cell>
          <cell r="BW16">
            <v>43</v>
          </cell>
          <cell r="BX16">
            <v>51</v>
          </cell>
          <cell r="BY16">
            <v>51</v>
          </cell>
          <cell r="BZ16">
            <v>51</v>
          </cell>
          <cell r="CA16">
            <v>41.5</v>
          </cell>
          <cell r="CB16">
            <v>51</v>
          </cell>
          <cell r="CC16">
            <v>51</v>
          </cell>
          <cell r="CD16">
            <v>51</v>
          </cell>
          <cell r="CE16">
            <v>51</v>
          </cell>
          <cell r="CF16">
            <v>20</v>
          </cell>
          <cell r="CG16">
            <v>18</v>
          </cell>
          <cell r="CH16">
            <v>22.4</v>
          </cell>
          <cell r="CI16">
            <v>20.2</v>
          </cell>
          <cell r="CJ16">
            <v>13.7</v>
          </cell>
          <cell r="CK16">
            <v>12.3</v>
          </cell>
          <cell r="CL16">
            <v>11.1</v>
          </cell>
          <cell r="CM16">
            <v>10</v>
          </cell>
          <cell r="CN16">
            <v>9</v>
          </cell>
          <cell r="CO16">
            <v>33.299999999999997</v>
          </cell>
          <cell r="CP16">
            <v>30</v>
          </cell>
          <cell r="CQ16">
            <v>36.799999999999997</v>
          </cell>
          <cell r="CR16">
            <v>33.1</v>
          </cell>
          <cell r="CS16">
            <v>23.5</v>
          </cell>
          <cell r="CT16">
            <v>21.2</v>
          </cell>
          <cell r="CU16">
            <v>19</v>
          </cell>
          <cell r="CV16">
            <v>17.100000000000001</v>
          </cell>
          <cell r="CW16">
            <v>15.4</v>
          </cell>
          <cell r="CX16">
            <v>65.5</v>
          </cell>
          <cell r="CY16">
            <v>59</v>
          </cell>
          <cell r="CZ16">
            <v>57.1</v>
          </cell>
          <cell r="DA16">
            <v>51.4</v>
          </cell>
          <cell r="DB16">
            <v>20</v>
          </cell>
          <cell r="DC16">
            <v>18</v>
          </cell>
          <cell r="DD16">
            <v>16.2</v>
          </cell>
          <cell r="DE16">
            <v>14.6</v>
          </cell>
          <cell r="DF16">
            <v>13.1</v>
          </cell>
          <cell r="DG16">
            <v>1.1000000000000001</v>
          </cell>
          <cell r="DH16">
            <v>1.2</v>
          </cell>
          <cell r="DI16">
            <v>1.9</v>
          </cell>
          <cell r="DJ16">
            <v>2.1</v>
          </cell>
          <cell r="DK16">
            <v>2.9</v>
          </cell>
          <cell r="DL16">
            <v>3.2</v>
          </cell>
          <cell r="DM16">
            <v>3.5</v>
          </cell>
          <cell r="DN16">
            <v>3.9</v>
          </cell>
          <cell r="DO16">
            <v>4.2</v>
          </cell>
          <cell r="DP16">
            <v>6.7</v>
          </cell>
          <cell r="DQ16">
            <v>7.4</v>
          </cell>
          <cell r="DR16">
            <v>4.7</v>
          </cell>
          <cell r="DS16">
            <v>5.2</v>
          </cell>
          <cell r="DT16">
            <v>5.9</v>
          </cell>
          <cell r="DU16">
            <v>6.5</v>
          </cell>
          <cell r="DV16">
            <v>7.1</v>
          </cell>
          <cell r="DW16">
            <v>7.9</v>
          </cell>
          <cell r="DX16">
            <v>8.6</v>
          </cell>
          <cell r="DY16">
            <v>0</v>
          </cell>
          <cell r="DZ16">
            <v>1</v>
          </cell>
          <cell r="EA16">
            <v>0</v>
          </cell>
          <cell r="EB16">
            <v>1</v>
          </cell>
          <cell r="EC16">
            <v>0</v>
          </cell>
          <cell r="ED16">
            <v>1</v>
          </cell>
          <cell r="EE16">
            <v>1.1000000000000001</v>
          </cell>
          <cell r="EF16">
            <v>1.2</v>
          </cell>
          <cell r="EG16">
            <v>1.3</v>
          </cell>
        </row>
        <row r="17">
          <cell r="A17" t="str">
            <v>00350094White</v>
          </cell>
          <cell r="B17" t="str">
            <v>00350094C</v>
          </cell>
          <cell r="C17" t="str">
            <v>0035</v>
          </cell>
          <cell r="D17" t="str">
            <v>00350094</v>
          </cell>
          <cell r="E17" t="str">
            <v>Boston</v>
          </cell>
          <cell r="F17" t="str">
            <v>Elihu Greenwood Leadership Academy</v>
          </cell>
          <cell r="G17" t="str">
            <v>ES</v>
          </cell>
          <cell r="H17" t="str">
            <v>Boston - Elihu Greenwood Leadership Academy (00350094)</v>
          </cell>
          <cell r="I17" t="str">
            <v>White</v>
          </cell>
          <cell r="J17" t="str">
            <v>00350094White</v>
          </cell>
          <cell r="K17" t="str">
            <v>--</v>
          </cell>
          <cell r="L17" t="str">
            <v>--</v>
          </cell>
          <cell r="M17" t="str">
            <v>--</v>
          </cell>
          <cell r="N17" t="str">
            <v>--</v>
          </cell>
          <cell r="O17" t="str">
            <v>--</v>
          </cell>
          <cell r="P17" t="str">
            <v>--</v>
          </cell>
          <cell r="Q17" t="str">
            <v>--</v>
          </cell>
          <cell r="R17" t="str">
            <v>--</v>
          </cell>
          <cell r="S17" t="str">
            <v>--</v>
          </cell>
          <cell r="T17" t="str">
            <v>--</v>
          </cell>
          <cell r="U17" t="str">
            <v>--</v>
          </cell>
          <cell r="V17" t="str">
            <v>--</v>
          </cell>
          <cell r="W17" t="str">
            <v>--</v>
          </cell>
          <cell r="X17" t="str">
            <v>--</v>
          </cell>
          <cell r="Y17" t="str">
            <v>--</v>
          </cell>
          <cell r="Z17" t="str">
            <v>--</v>
          </cell>
          <cell r="AA17" t="str">
            <v>--</v>
          </cell>
          <cell r="AB17" t="str">
            <v>--</v>
          </cell>
          <cell r="AC17" t="str">
            <v>--</v>
          </cell>
          <cell r="AD17" t="str">
            <v>--</v>
          </cell>
          <cell r="AE17" t="str">
            <v>--</v>
          </cell>
          <cell r="AF17" t="str">
            <v>--</v>
          </cell>
          <cell r="AG17" t="str">
            <v>--</v>
          </cell>
          <cell r="AH17" t="str">
            <v>--</v>
          </cell>
          <cell r="AI17" t="str">
            <v>--</v>
          </cell>
          <cell r="AJ17" t="str">
            <v>--</v>
          </cell>
          <cell r="AK17" t="str">
            <v>--</v>
          </cell>
          <cell r="AL17" t="str">
            <v>--</v>
          </cell>
          <cell r="AM17" t="str">
            <v>--</v>
          </cell>
          <cell r="AN17" t="str">
            <v>--</v>
          </cell>
          <cell r="AO17" t="str">
            <v>--</v>
          </cell>
          <cell r="AP17" t="str">
            <v>--</v>
          </cell>
          <cell r="AQ17" t="str">
            <v>--</v>
          </cell>
          <cell r="AR17" t="str">
            <v>--</v>
          </cell>
          <cell r="AS17" t="str">
            <v>--</v>
          </cell>
          <cell r="AT17" t="str">
            <v>--</v>
          </cell>
          <cell r="AU17" t="str">
            <v>--</v>
          </cell>
          <cell r="AV17" t="str">
            <v>--</v>
          </cell>
          <cell r="AW17" t="str">
            <v>--</v>
          </cell>
          <cell r="AX17" t="str">
            <v>--</v>
          </cell>
          <cell r="AY17" t="str">
            <v>--</v>
          </cell>
          <cell r="AZ17" t="str">
            <v>--</v>
          </cell>
          <cell r="BA17" t="str">
            <v>--</v>
          </cell>
          <cell r="BB17" t="str">
            <v>--</v>
          </cell>
          <cell r="BC17" t="str">
            <v>--</v>
          </cell>
          <cell r="BD17" t="str">
            <v>--</v>
          </cell>
          <cell r="BE17" t="str">
            <v>--</v>
          </cell>
          <cell r="BF17" t="str">
            <v>--</v>
          </cell>
          <cell r="BG17" t="str">
            <v>--</v>
          </cell>
          <cell r="BH17" t="str">
            <v>--</v>
          </cell>
          <cell r="BI17" t="str">
            <v>--</v>
          </cell>
          <cell r="BJ17" t="str">
            <v>--</v>
          </cell>
          <cell r="BK17" t="str">
            <v>--</v>
          </cell>
          <cell r="BL17" t="str">
            <v>--</v>
          </cell>
          <cell r="BM17" t="str">
            <v>--</v>
          </cell>
          <cell r="BN17" t="str">
            <v>--</v>
          </cell>
          <cell r="BO17" t="str">
            <v>--</v>
          </cell>
          <cell r="BP17" t="str">
            <v>--</v>
          </cell>
          <cell r="BQ17" t="str">
            <v>--</v>
          </cell>
          <cell r="BR17" t="str">
            <v>--</v>
          </cell>
          <cell r="BS17" t="str">
            <v>--</v>
          </cell>
          <cell r="BT17" t="str">
            <v>--</v>
          </cell>
          <cell r="BU17" t="str">
            <v>--</v>
          </cell>
          <cell r="BV17" t="str">
            <v>--</v>
          </cell>
          <cell r="BW17" t="str">
            <v>--</v>
          </cell>
          <cell r="BX17" t="str">
            <v>--</v>
          </cell>
          <cell r="BY17" t="str">
            <v>--</v>
          </cell>
          <cell r="BZ17" t="str">
            <v>--</v>
          </cell>
          <cell r="CA17" t="str">
            <v>--</v>
          </cell>
          <cell r="CB17" t="str">
            <v>--</v>
          </cell>
          <cell r="CC17" t="str">
            <v>--</v>
          </cell>
          <cell r="CD17" t="str">
            <v>--</v>
          </cell>
          <cell r="CE17" t="str">
            <v>--</v>
          </cell>
          <cell r="CF17" t="str">
            <v>--</v>
          </cell>
          <cell r="CG17" t="str">
            <v>--</v>
          </cell>
          <cell r="CH17" t="str">
            <v>--</v>
          </cell>
          <cell r="CI17" t="str">
            <v>--</v>
          </cell>
          <cell r="CJ17" t="str">
            <v>--</v>
          </cell>
          <cell r="CK17" t="str">
            <v>--</v>
          </cell>
          <cell r="CL17" t="str">
            <v>--</v>
          </cell>
          <cell r="CM17" t="str">
            <v>--</v>
          </cell>
          <cell r="CN17" t="str">
            <v>--</v>
          </cell>
          <cell r="CO17" t="str">
            <v>--</v>
          </cell>
          <cell r="CP17" t="str">
            <v>--</v>
          </cell>
          <cell r="CQ17" t="str">
            <v>--</v>
          </cell>
          <cell r="CR17" t="str">
            <v>--</v>
          </cell>
          <cell r="CS17" t="str">
            <v>--</v>
          </cell>
          <cell r="CT17" t="str">
            <v>--</v>
          </cell>
          <cell r="CU17" t="str">
            <v>--</v>
          </cell>
          <cell r="CV17" t="str">
            <v>--</v>
          </cell>
          <cell r="CW17" t="str">
            <v>--</v>
          </cell>
          <cell r="CX17" t="str">
            <v>--</v>
          </cell>
          <cell r="CY17" t="str">
            <v>--</v>
          </cell>
          <cell r="CZ17" t="str">
            <v>--</v>
          </cell>
          <cell r="DA17" t="str">
            <v>--</v>
          </cell>
          <cell r="DB17" t="str">
            <v>--</v>
          </cell>
          <cell r="DC17" t="str">
            <v>--</v>
          </cell>
          <cell r="DD17" t="str">
            <v>--</v>
          </cell>
          <cell r="DE17" t="str">
            <v>--</v>
          </cell>
          <cell r="DF17" t="str">
            <v>--</v>
          </cell>
          <cell r="DG17" t="str">
            <v>--</v>
          </cell>
          <cell r="DH17" t="str">
            <v>--</v>
          </cell>
          <cell r="DI17" t="str">
            <v>--</v>
          </cell>
          <cell r="DJ17" t="str">
            <v>--</v>
          </cell>
          <cell r="DK17" t="str">
            <v>--</v>
          </cell>
          <cell r="DL17" t="str">
            <v>--</v>
          </cell>
          <cell r="DM17" t="str">
            <v>--</v>
          </cell>
          <cell r="DN17" t="str">
            <v>--</v>
          </cell>
          <cell r="DO17" t="str">
            <v>--</v>
          </cell>
          <cell r="DP17" t="str">
            <v>--</v>
          </cell>
          <cell r="DQ17" t="str">
            <v>--</v>
          </cell>
          <cell r="DR17" t="str">
            <v>--</v>
          </cell>
          <cell r="DS17" t="str">
            <v>--</v>
          </cell>
          <cell r="DT17" t="str">
            <v>--</v>
          </cell>
          <cell r="DU17" t="str">
            <v>--</v>
          </cell>
          <cell r="DV17" t="str">
            <v>--</v>
          </cell>
          <cell r="DW17" t="str">
            <v>--</v>
          </cell>
          <cell r="DX17" t="str">
            <v>--</v>
          </cell>
          <cell r="DY17" t="str">
            <v>--</v>
          </cell>
          <cell r="DZ17" t="str">
            <v>--</v>
          </cell>
          <cell r="EA17" t="str">
            <v>--</v>
          </cell>
          <cell r="EB17" t="str">
            <v>--</v>
          </cell>
          <cell r="EC17" t="str">
            <v>--</v>
          </cell>
          <cell r="ED17" t="str">
            <v>--</v>
          </cell>
          <cell r="EE17" t="str">
            <v>--</v>
          </cell>
          <cell r="EF17" t="str">
            <v>--</v>
          </cell>
          <cell r="EG17" t="str">
            <v>--</v>
          </cell>
        </row>
        <row r="18">
          <cell r="A18" t="str">
            <v>00350094Students w/disabilities</v>
          </cell>
          <cell r="B18" t="str">
            <v>00350094D</v>
          </cell>
          <cell r="C18" t="str">
            <v>0035</v>
          </cell>
          <cell r="D18" t="str">
            <v>00350094</v>
          </cell>
          <cell r="E18" t="str">
            <v>Boston</v>
          </cell>
          <cell r="F18" t="str">
            <v>Elihu Greenwood Leadership Academy</v>
          </cell>
          <cell r="G18" t="str">
            <v>ES</v>
          </cell>
          <cell r="H18" t="str">
            <v>Boston - Elihu Greenwood Leadership Academy (00350094)</v>
          </cell>
          <cell r="I18" t="str">
            <v>Students w/disabilities</v>
          </cell>
          <cell r="J18" t="str">
            <v>00350094Students w/disabilities</v>
          </cell>
          <cell r="K18" t="str">
            <v>--</v>
          </cell>
          <cell r="L18">
            <v>42.9</v>
          </cell>
          <cell r="M18">
            <v>47.7</v>
          </cell>
          <cell r="N18">
            <v>40.9</v>
          </cell>
          <cell r="O18">
            <v>52.4</v>
          </cell>
          <cell r="P18">
            <v>63.5</v>
          </cell>
          <cell r="Q18">
            <v>57.2</v>
          </cell>
          <cell r="R18">
            <v>61.9</v>
          </cell>
          <cell r="S18">
            <v>66.7</v>
          </cell>
          <cell r="T18">
            <v>71.5</v>
          </cell>
          <cell r="U18">
            <v>39.299999999999997</v>
          </cell>
          <cell r="V18">
            <v>44.4</v>
          </cell>
          <cell r="W18">
            <v>33.799999999999997</v>
          </cell>
          <cell r="X18">
            <v>49.4</v>
          </cell>
          <cell r="Y18">
            <v>64.900000000000006</v>
          </cell>
          <cell r="Z18">
            <v>54.5</v>
          </cell>
          <cell r="AA18">
            <v>59.5</v>
          </cell>
          <cell r="AB18">
            <v>64.599999999999994</v>
          </cell>
          <cell r="AC18">
            <v>69.7</v>
          </cell>
          <cell r="AD18">
            <v>32.1</v>
          </cell>
          <cell r="AE18" t="str">
            <v>--</v>
          </cell>
          <cell r="AF18">
            <v>32.1</v>
          </cell>
          <cell r="AG18">
            <v>37.799999999999997</v>
          </cell>
          <cell r="AH18">
            <v>68.400000000000006</v>
          </cell>
          <cell r="AI18">
            <v>43.4</v>
          </cell>
          <cell r="AJ18">
            <v>49.1</v>
          </cell>
          <cell r="AK18">
            <v>54.7</v>
          </cell>
          <cell r="AL18">
            <v>60.4</v>
          </cell>
          <cell r="AM18" t="str">
            <v>--</v>
          </cell>
          <cell r="AN18" t="str">
            <v>--</v>
          </cell>
          <cell r="AO18" t="str">
            <v>--</v>
          </cell>
          <cell r="AP18" t="str">
            <v>--</v>
          </cell>
          <cell r="AQ18" t="str">
            <v>--</v>
          </cell>
          <cell r="AR18" t="str">
            <v>--</v>
          </cell>
          <cell r="AS18" t="str">
            <v>--</v>
          </cell>
          <cell r="AT18" t="str">
            <v>--</v>
          </cell>
          <cell r="AU18" t="str">
            <v>--</v>
          </cell>
          <cell r="AV18" t="str">
            <v>--</v>
          </cell>
          <cell r="AW18" t="str">
            <v>--</v>
          </cell>
          <cell r="AX18" t="str">
            <v>--</v>
          </cell>
          <cell r="AY18" t="str">
            <v>--</v>
          </cell>
          <cell r="AZ18" t="str">
            <v>--</v>
          </cell>
          <cell r="BA18" t="str">
            <v>--</v>
          </cell>
          <cell r="BB18" t="str">
            <v>--</v>
          </cell>
          <cell r="BC18" t="str">
            <v>--</v>
          </cell>
          <cell r="BD18" t="str">
            <v>--</v>
          </cell>
          <cell r="BE18" t="str">
            <v>--</v>
          </cell>
          <cell r="BF18" t="str">
            <v>--</v>
          </cell>
          <cell r="BG18" t="str">
            <v>--</v>
          </cell>
          <cell r="BH18" t="str">
            <v>--</v>
          </cell>
          <cell r="BI18" t="str">
            <v>--</v>
          </cell>
          <cell r="BJ18" t="str">
            <v>--</v>
          </cell>
          <cell r="BK18" t="str">
            <v>--</v>
          </cell>
          <cell r="BL18" t="str">
            <v>--</v>
          </cell>
          <cell r="BM18" t="str">
            <v>--</v>
          </cell>
          <cell r="BN18">
            <v>17</v>
          </cell>
          <cell r="BO18">
            <v>27</v>
          </cell>
          <cell r="BP18">
            <v>31</v>
          </cell>
          <cell r="BQ18">
            <v>41</v>
          </cell>
          <cell r="BR18">
            <v>46.5</v>
          </cell>
          <cell r="BS18">
            <v>41</v>
          </cell>
          <cell r="BT18">
            <v>51</v>
          </cell>
          <cell r="BU18">
            <v>51</v>
          </cell>
          <cell r="BV18">
            <v>51</v>
          </cell>
          <cell r="BW18">
            <v>33.5</v>
          </cell>
          <cell r="BX18">
            <v>43.5</v>
          </cell>
          <cell r="BY18">
            <v>37</v>
          </cell>
          <cell r="BZ18">
            <v>47</v>
          </cell>
          <cell r="CA18">
            <v>31</v>
          </cell>
          <cell r="CB18">
            <v>47</v>
          </cell>
          <cell r="CC18">
            <v>51</v>
          </cell>
          <cell r="CD18">
            <v>51</v>
          </cell>
          <cell r="CE18">
            <v>51</v>
          </cell>
          <cell r="CF18">
            <v>46.9</v>
          </cell>
          <cell r="CG18">
            <v>42.2</v>
          </cell>
          <cell r="CH18">
            <v>56.9</v>
          </cell>
          <cell r="CI18">
            <v>51.2</v>
          </cell>
          <cell r="CJ18">
            <v>30.8</v>
          </cell>
          <cell r="CK18">
            <v>27.7</v>
          </cell>
          <cell r="CL18">
            <v>24.9</v>
          </cell>
          <cell r="CM18">
            <v>22.5</v>
          </cell>
          <cell r="CN18">
            <v>20.2</v>
          </cell>
          <cell r="CO18">
            <v>61.2</v>
          </cell>
          <cell r="CP18">
            <v>55.1</v>
          </cell>
          <cell r="CQ18">
            <v>64.900000000000006</v>
          </cell>
          <cell r="CR18">
            <v>58.4</v>
          </cell>
          <cell r="CS18">
            <v>32.700000000000003</v>
          </cell>
          <cell r="CT18">
            <v>29.4</v>
          </cell>
          <cell r="CU18">
            <v>26.5</v>
          </cell>
          <cell r="CV18">
            <v>23.8</v>
          </cell>
          <cell r="CW18">
            <v>21.5</v>
          </cell>
          <cell r="CX18">
            <v>78.900000000000006</v>
          </cell>
          <cell r="CY18" t="str">
            <v>--</v>
          </cell>
          <cell r="CZ18">
            <v>76.2</v>
          </cell>
          <cell r="DA18">
            <v>68.599999999999994</v>
          </cell>
          <cell r="DB18">
            <v>21.1</v>
          </cell>
          <cell r="DC18">
            <v>68.599999999999994</v>
          </cell>
          <cell r="DD18">
            <v>61.7</v>
          </cell>
          <cell r="DE18">
            <v>55.5</v>
          </cell>
          <cell r="DF18">
            <v>50</v>
          </cell>
          <cell r="DG18">
            <v>0</v>
          </cell>
          <cell r="DH18">
            <v>1</v>
          </cell>
          <cell r="DI18">
            <v>0</v>
          </cell>
          <cell r="DJ18">
            <v>1</v>
          </cell>
          <cell r="DK18">
            <v>0</v>
          </cell>
          <cell r="DL18">
            <v>1</v>
          </cell>
          <cell r="DM18">
            <v>1.1000000000000001</v>
          </cell>
          <cell r="DN18">
            <v>1.2</v>
          </cell>
          <cell r="DO18">
            <v>1.3</v>
          </cell>
          <cell r="DP18">
            <v>0</v>
          </cell>
          <cell r="DQ18">
            <v>1</v>
          </cell>
          <cell r="DR18">
            <v>0</v>
          </cell>
          <cell r="DS18">
            <v>1</v>
          </cell>
          <cell r="DT18">
            <v>1.9</v>
          </cell>
          <cell r="DU18">
            <v>2.1</v>
          </cell>
          <cell r="DV18">
            <v>2.2999999999999998</v>
          </cell>
          <cell r="DW18">
            <v>2.5</v>
          </cell>
          <cell r="DX18">
            <v>2.8</v>
          </cell>
          <cell r="DY18">
            <v>0</v>
          </cell>
          <cell r="DZ18" t="str">
            <v>--</v>
          </cell>
          <cell r="EA18">
            <v>0</v>
          </cell>
          <cell r="EB18">
            <v>1</v>
          </cell>
          <cell r="EC18">
            <v>0</v>
          </cell>
          <cell r="ED18">
            <v>1</v>
          </cell>
          <cell r="EE18">
            <v>1.1000000000000001</v>
          </cell>
          <cell r="EF18">
            <v>1.2</v>
          </cell>
          <cell r="EG18">
            <v>1.3</v>
          </cell>
        </row>
        <row r="19">
          <cell r="A19" t="str">
            <v>00350094Low income</v>
          </cell>
          <cell r="B19" t="str">
            <v>00350094F</v>
          </cell>
          <cell r="C19" t="str">
            <v>0035</v>
          </cell>
          <cell r="D19" t="str">
            <v>00350094</v>
          </cell>
          <cell r="E19" t="str">
            <v>Boston</v>
          </cell>
          <cell r="F19" t="str">
            <v>Elihu Greenwood Leadership Academy</v>
          </cell>
          <cell r="G19" t="str">
            <v>ES</v>
          </cell>
          <cell r="H19" t="str">
            <v>Boston - Elihu Greenwood Leadership Academy (00350094)</v>
          </cell>
          <cell r="I19" t="str">
            <v>Low income</v>
          </cell>
          <cell r="J19" t="str">
            <v>00350094Low income</v>
          </cell>
          <cell r="K19" t="str">
            <v>--</v>
          </cell>
          <cell r="L19">
            <v>65.599999999999994</v>
          </cell>
          <cell r="M19">
            <v>68.5</v>
          </cell>
          <cell r="N19">
            <v>57.4</v>
          </cell>
          <cell r="O19">
            <v>71.3</v>
          </cell>
          <cell r="P19">
            <v>70.7</v>
          </cell>
          <cell r="Q19">
            <v>75.5</v>
          </cell>
          <cell r="R19">
            <v>78.400000000000006</v>
          </cell>
          <cell r="S19">
            <v>81.2</v>
          </cell>
          <cell r="T19">
            <v>84.1</v>
          </cell>
          <cell r="U19">
            <v>63.6</v>
          </cell>
          <cell r="V19">
            <v>66.599999999999994</v>
          </cell>
          <cell r="W19">
            <v>49.1</v>
          </cell>
          <cell r="X19">
            <v>69.7</v>
          </cell>
          <cell r="Y19">
            <v>64</v>
          </cell>
          <cell r="Z19">
            <v>74</v>
          </cell>
          <cell r="AA19">
            <v>77</v>
          </cell>
          <cell r="AB19">
            <v>80.099999999999994</v>
          </cell>
          <cell r="AC19">
            <v>83.1</v>
          </cell>
          <cell r="AD19">
            <v>38.1</v>
          </cell>
          <cell r="AE19">
            <v>43.3</v>
          </cell>
          <cell r="AF19">
            <v>39.1</v>
          </cell>
          <cell r="AG19">
            <v>48.4</v>
          </cell>
          <cell r="AH19">
            <v>59.2</v>
          </cell>
          <cell r="AI19">
            <v>54.9</v>
          </cell>
          <cell r="AJ19">
            <v>60</v>
          </cell>
          <cell r="AK19">
            <v>65.2</v>
          </cell>
          <cell r="AL19">
            <v>70.400000000000006</v>
          </cell>
          <cell r="AM19" t="str">
            <v>--</v>
          </cell>
          <cell r="AN19" t="str">
            <v>--</v>
          </cell>
          <cell r="AO19" t="str">
            <v>--</v>
          </cell>
          <cell r="AP19" t="str">
            <v>--</v>
          </cell>
          <cell r="AQ19" t="str">
            <v>--</v>
          </cell>
          <cell r="AR19" t="str">
            <v>--</v>
          </cell>
          <cell r="AS19" t="str">
            <v>--</v>
          </cell>
          <cell r="AT19" t="str">
            <v>--</v>
          </cell>
          <cell r="AU19" t="str">
            <v>--</v>
          </cell>
          <cell r="AV19" t="str">
            <v>--</v>
          </cell>
          <cell r="AW19" t="str">
            <v>--</v>
          </cell>
          <cell r="AX19" t="str">
            <v>--</v>
          </cell>
          <cell r="AY19" t="str">
            <v>--</v>
          </cell>
          <cell r="AZ19" t="str">
            <v>--</v>
          </cell>
          <cell r="BA19" t="str">
            <v>--</v>
          </cell>
          <cell r="BB19" t="str">
            <v>--</v>
          </cell>
          <cell r="BC19" t="str">
            <v>--</v>
          </cell>
          <cell r="BD19" t="str">
            <v>--</v>
          </cell>
          <cell r="BE19" t="str">
            <v>--</v>
          </cell>
          <cell r="BF19" t="str">
            <v>--</v>
          </cell>
          <cell r="BG19" t="str">
            <v>--</v>
          </cell>
          <cell r="BH19" t="str">
            <v>--</v>
          </cell>
          <cell r="BI19" t="str">
            <v>--</v>
          </cell>
          <cell r="BJ19" t="str">
            <v>--</v>
          </cell>
          <cell r="BK19" t="str">
            <v>--</v>
          </cell>
          <cell r="BL19" t="str">
            <v>--</v>
          </cell>
          <cell r="BM19" t="str">
            <v>--</v>
          </cell>
          <cell r="BN19">
            <v>49</v>
          </cell>
          <cell r="BO19">
            <v>51</v>
          </cell>
          <cell r="BP19">
            <v>38</v>
          </cell>
          <cell r="BQ19">
            <v>48</v>
          </cell>
          <cell r="BR19">
            <v>49</v>
          </cell>
          <cell r="BS19">
            <v>60</v>
          </cell>
          <cell r="BT19">
            <v>60</v>
          </cell>
          <cell r="BU19">
            <v>60</v>
          </cell>
          <cell r="BV19">
            <v>60</v>
          </cell>
          <cell r="BW19">
            <v>43</v>
          </cell>
          <cell r="BX19">
            <v>51</v>
          </cell>
          <cell r="BY19">
            <v>37</v>
          </cell>
          <cell r="BZ19">
            <v>47</v>
          </cell>
          <cell r="CA19">
            <v>39</v>
          </cell>
          <cell r="CB19">
            <v>53.5</v>
          </cell>
          <cell r="CC19">
            <v>60</v>
          </cell>
          <cell r="CD19">
            <v>60</v>
          </cell>
          <cell r="CE19">
            <v>60</v>
          </cell>
          <cell r="CF19">
            <v>19.899999999999999</v>
          </cell>
          <cell r="CG19">
            <v>17.899999999999999</v>
          </cell>
          <cell r="CH19">
            <v>29.8</v>
          </cell>
          <cell r="CI19">
            <v>26.8</v>
          </cell>
          <cell r="CJ19">
            <v>15.4</v>
          </cell>
          <cell r="CK19">
            <v>13.9</v>
          </cell>
          <cell r="CL19">
            <v>12.5</v>
          </cell>
          <cell r="CM19">
            <v>11.2</v>
          </cell>
          <cell r="CN19">
            <v>10.1</v>
          </cell>
          <cell r="CO19">
            <v>27.9</v>
          </cell>
          <cell r="CP19">
            <v>25.1</v>
          </cell>
          <cell r="CQ19">
            <v>44.3</v>
          </cell>
          <cell r="CR19">
            <v>39.9</v>
          </cell>
          <cell r="CS19">
            <v>27.2</v>
          </cell>
          <cell r="CT19">
            <v>24.5</v>
          </cell>
          <cell r="CU19">
            <v>22</v>
          </cell>
          <cell r="CV19">
            <v>19.8</v>
          </cell>
          <cell r="CW19">
            <v>17.8</v>
          </cell>
          <cell r="CX19">
            <v>54.8</v>
          </cell>
          <cell r="CY19">
            <v>49.3</v>
          </cell>
          <cell r="CZ19">
            <v>65.2</v>
          </cell>
          <cell r="DA19">
            <v>58.7</v>
          </cell>
          <cell r="DB19">
            <v>34.799999999999997</v>
          </cell>
          <cell r="DC19">
            <v>31.3</v>
          </cell>
          <cell r="DD19">
            <v>28.2</v>
          </cell>
          <cell r="DE19">
            <v>25.4</v>
          </cell>
          <cell r="DF19">
            <v>22.8</v>
          </cell>
          <cell r="DG19">
            <v>2.2000000000000002</v>
          </cell>
          <cell r="DH19">
            <v>2.4</v>
          </cell>
          <cell r="DI19">
            <v>0.7</v>
          </cell>
          <cell r="DJ19">
            <v>0.8</v>
          </cell>
          <cell r="DK19">
            <v>3.1</v>
          </cell>
          <cell r="DL19">
            <v>3.4</v>
          </cell>
          <cell r="DM19">
            <v>3.8</v>
          </cell>
          <cell r="DN19">
            <v>4.0999999999999996</v>
          </cell>
          <cell r="DO19">
            <v>4.5</v>
          </cell>
          <cell r="DP19">
            <v>5.9</v>
          </cell>
          <cell r="DQ19">
            <v>6.5</v>
          </cell>
          <cell r="DR19">
            <v>4.3</v>
          </cell>
          <cell r="DS19">
            <v>4.7</v>
          </cell>
          <cell r="DT19">
            <v>4.9000000000000004</v>
          </cell>
          <cell r="DU19">
            <v>5.4</v>
          </cell>
          <cell r="DV19">
            <v>5.9</v>
          </cell>
          <cell r="DW19">
            <v>6.5</v>
          </cell>
          <cell r="DX19">
            <v>7.2</v>
          </cell>
          <cell r="DY19">
            <v>0</v>
          </cell>
          <cell r="DZ19">
            <v>1</v>
          </cell>
          <cell r="EA19">
            <v>0</v>
          </cell>
          <cell r="EB19">
            <v>1</v>
          </cell>
          <cell r="EC19">
            <v>0</v>
          </cell>
          <cell r="ED19">
            <v>1</v>
          </cell>
          <cell r="EE19">
            <v>1.1000000000000001</v>
          </cell>
          <cell r="EF19">
            <v>1.2</v>
          </cell>
          <cell r="EG19">
            <v>1.3</v>
          </cell>
        </row>
        <row r="20">
          <cell r="A20" t="str">
            <v>00350094Hispanic/Latino</v>
          </cell>
          <cell r="B20" t="str">
            <v>00350094H</v>
          </cell>
          <cell r="C20" t="str">
            <v>0035</v>
          </cell>
          <cell r="D20" t="str">
            <v>00350094</v>
          </cell>
          <cell r="E20" t="str">
            <v>Boston</v>
          </cell>
          <cell r="F20" t="str">
            <v>Elihu Greenwood Leadership Academy</v>
          </cell>
          <cell r="G20" t="str">
            <v>ES</v>
          </cell>
          <cell r="H20" t="str">
            <v>Boston - Elihu Greenwood Leadership Academy (00350094)</v>
          </cell>
          <cell r="I20" t="str">
            <v>Hispanic/Latino</v>
          </cell>
          <cell r="J20" t="str">
            <v>00350094Hispanic/Latino</v>
          </cell>
          <cell r="K20" t="str">
            <v>--</v>
          </cell>
          <cell r="L20">
            <v>61.9</v>
          </cell>
          <cell r="M20">
            <v>65.099999999999994</v>
          </cell>
          <cell r="N20">
            <v>54.5</v>
          </cell>
          <cell r="O20">
            <v>68.3</v>
          </cell>
          <cell r="P20">
            <v>67.8</v>
          </cell>
          <cell r="Q20">
            <v>72.7</v>
          </cell>
          <cell r="R20">
            <v>75.900000000000006</v>
          </cell>
          <cell r="S20">
            <v>79.099999999999994</v>
          </cell>
          <cell r="T20">
            <v>82.3</v>
          </cell>
          <cell r="U20">
            <v>62.7</v>
          </cell>
          <cell r="V20">
            <v>65.8</v>
          </cell>
          <cell r="W20">
            <v>47.7</v>
          </cell>
          <cell r="X20">
            <v>68.900000000000006</v>
          </cell>
          <cell r="Y20">
            <v>61.5</v>
          </cell>
          <cell r="Z20">
            <v>73.3</v>
          </cell>
          <cell r="AA20">
            <v>76.400000000000006</v>
          </cell>
          <cell r="AB20">
            <v>79.5</v>
          </cell>
          <cell r="AC20">
            <v>82.7</v>
          </cell>
          <cell r="AD20">
            <v>47.7</v>
          </cell>
          <cell r="AE20" t="str">
            <v>--</v>
          </cell>
          <cell r="AF20">
            <v>45.8</v>
          </cell>
          <cell r="AG20" t="str">
            <v>--</v>
          </cell>
          <cell r="AH20">
            <v>47.7</v>
          </cell>
          <cell r="AI20">
            <v>53.4</v>
          </cell>
          <cell r="AJ20">
            <v>57.7</v>
          </cell>
          <cell r="AK20">
            <v>62.1</v>
          </cell>
          <cell r="AL20">
            <v>66.400000000000006</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t="str">
            <v>--</v>
          </cell>
          <cell r="BN20">
            <v>54</v>
          </cell>
          <cell r="BO20">
            <v>51</v>
          </cell>
          <cell r="BP20">
            <v>35.5</v>
          </cell>
          <cell r="BQ20">
            <v>45.5</v>
          </cell>
          <cell r="BR20">
            <v>48</v>
          </cell>
          <cell r="BS20">
            <v>60</v>
          </cell>
          <cell r="BT20">
            <v>60</v>
          </cell>
          <cell r="BU20">
            <v>60</v>
          </cell>
          <cell r="BV20">
            <v>60</v>
          </cell>
          <cell r="BW20">
            <v>39.5</v>
          </cell>
          <cell r="BX20">
            <v>49.5</v>
          </cell>
          <cell r="BY20">
            <v>25.5</v>
          </cell>
          <cell r="BZ20">
            <v>35.5</v>
          </cell>
          <cell r="CA20">
            <v>40.5</v>
          </cell>
          <cell r="CB20">
            <v>55</v>
          </cell>
          <cell r="CC20">
            <v>60</v>
          </cell>
          <cell r="CD20">
            <v>60</v>
          </cell>
          <cell r="CE20">
            <v>60</v>
          </cell>
          <cell r="CF20">
            <v>23.7</v>
          </cell>
          <cell r="CG20">
            <v>21.3</v>
          </cell>
          <cell r="CH20">
            <v>34.799999999999997</v>
          </cell>
          <cell r="CI20">
            <v>31.3</v>
          </cell>
          <cell r="CJ20">
            <v>18.399999999999999</v>
          </cell>
          <cell r="CK20">
            <v>16.600000000000001</v>
          </cell>
          <cell r="CL20">
            <v>14.9</v>
          </cell>
          <cell r="CM20">
            <v>13.4</v>
          </cell>
          <cell r="CN20">
            <v>12.1</v>
          </cell>
          <cell r="CO20">
            <v>27.1</v>
          </cell>
          <cell r="CP20">
            <v>24.4</v>
          </cell>
          <cell r="CQ20">
            <v>48.5</v>
          </cell>
          <cell r="CR20">
            <v>43.7</v>
          </cell>
          <cell r="CS20">
            <v>30.3</v>
          </cell>
          <cell r="CT20">
            <v>27.3</v>
          </cell>
          <cell r="CU20">
            <v>24.5</v>
          </cell>
          <cell r="CV20">
            <v>22.1</v>
          </cell>
          <cell r="CW20">
            <v>19.899999999999999</v>
          </cell>
          <cell r="CX20">
            <v>47.4</v>
          </cell>
          <cell r="CY20" t="str">
            <v>--</v>
          </cell>
          <cell r="CZ20">
            <v>66.7</v>
          </cell>
          <cell r="DA20" t="str">
            <v>--</v>
          </cell>
          <cell r="DB20">
            <v>54.5</v>
          </cell>
          <cell r="DC20">
            <v>49.1</v>
          </cell>
          <cell r="DD20">
            <v>44.1</v>
          </cell>
          <cell r="DE20">
            <v>39.700000000000003</v>
          </cell>
          <cell r="DF20">
            <v>35.799999999999997</v>
          </cell>
          <cell r="DG20">
            <v>3.4</v>
          </cell>
          <cell r="DH20">
            <v>3.7</v>
          </cell>
          <cell r="DI20">
            <v>3</v>
          </cell>
          <cell r="DJ20">
            <v>3.3</v>
          </cell>
          <cell r="DK20">
            <v>3.9</v>
          </cell>
          <cell r="DL20">
            <v>4.3</v>
          </cell>
          <cell r="DM20">
            <v>4.7</v>
          </cell>
          <cell r="DN20">
            <v>5.2</v>
          </cell>
          <cell r="DO20">
            <v>5.7</v>
          </cell>
          <cell r="DP20">
            <v>3.4</v>
          </cell>
          <cell r="DQ20">
            <v>3.7</v>
          </cell>
          <cell r="DR20">
            <v>6.1</v>
          </cell>
          <cell r="DS20">
            <v>6.7</v>
          </cell>
          <cell r="DT20">
            <v>5.3</v>
          </cell>
          <cell r="DU20">
            <v>5.8</v>
          </cell>
          <cell r="DV20">
            <v>6.4</v>
          </cell>
          <cell r="DW20">
            <v>7.1</v>
          </cell>
          <cell r="DX20">
            <v>7.8</v>
          </cell>
          <cell r="DY20">
            <v>0</v>
          </cell>
          <cell r="DZ20" t="str">
            <v>--</v>
          </cell>
          <cell r="EA20">
            <v>0</v>
          </cell>
          <cell r="EB20" t="str">
            <v>--</v>
          </cell>
          <cell r="EC20">
            <v>0</v>
          </cell>
          <cell r="ED20">
            <v>1</v>
          </cell>
          <cell r="EE20">
            <v>1.1000000000000001</v>
          </cell>
          <cell r="EF20">
            <v>1.2</v>
          </cell>
          <cell r="EG20">
            <v>1.3</v>
          </cell>
        </row>
        <row r="21">
          <cell r="A21" t="str">
            <v>00350094ELL and Former ELL</v>
          </cell>
          <cell r="B21" t="str">
            <v>00350094L</v>
          </cell>
          <cell r="C21" t="str">
            <v>0035</v>
          </cell>
          <cell r="D21" t="str">
            <v>00350094</v>
          </cell>
          <cell r="E21" t="str">
            <v>Boston</v>
          </cell>
          <cell r="F21" t="str">
            <v>Elihu Greenwood Leadership Academy</v>
          </cell>
          <cell r="G21" t="str">
            <v>ES</v>
          </cell>
          <cell r="H21" t="str">
            <v>Boston - Elihu Greenwood Leadership Academy (00350094)</v>
          </cell>
          <cell r="I21" t="str">
            <v>ELL and Former ELL</v>
          </cell>
          <cell r="J21" t="str">
            <v>00350094ELL and Former ELL</v>
          </cell>
          <cell r="K21" t="str">
            <v>--</v>
          </cell>
          <cell r="L21">
            <v>62.1</v>
          </cell>
          <cell r="M21">
            <v>65.3</v>
          </cell>
          <cell r="N21">
            <v>55.1</v>
          </cell>
          <cell r="O21">
            <v>68.400000000000006</v>
          </cell>
          <cell r="P21">
            <v>65.5</v>
          </cell>
          <cell r="Q21">
            <v>72.900000000000006</v>
          </cell>
          <cell r="R21">
            <v>76</v>
          </cell>
          <cell r="S21">
            <v>79.2</v>
          </cell>
          <cell r="T21">
            <v>82.4</v>
          </cell>
          <cell r="U21">
            <v>63.8</v>
          </cell>
          <cell r="V21">
            <v>66.8</v>
          </cell>
          <cell r="W21">
            <v>52.5</v>
          </cell>
          <cell r="X21">
            <v>69.8</v>
          </cell>
          <cell r="Y21">
            <v>63.4</v>
          </cell>
          <cell r="Z21">
            <v>74.2</v>
          </cell>
          <cell r="AA21">
            <v>77.2</v>
          </cell>
          <cell r="AB21">
            <v>80.2</v>
          </cell>
          <cell r="AC21">
            <v>83.2</v>
          </cell>
          <cell r="AD21">
            <v>32.5</v>
          </cell>
          <cell r="AE21">
            <v>38.1</v>
          </cell>
          <cell r="AF21">
            <v>36.700000000000003</v>
          </cell>
          <cell r="AG21">
            <v>43.8</v>
          </cell>
          <cell r="AH21">
            <v>55.6</v>
          </cell>
          <cell r="AI21">
            <v>50.7</v>
          </cell>
          <cell r="AJ21">
            <v>56.3</v>
          </cell>
          <cell r="AK21">
            <v>61.9</v>
          </cell>
          <cell r="AL21">
            <v>67.599999999999994</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t="str">
            <v>--</v>
          </cell>
          <cell r="BF21" t="str">
            <v>--</v>
          </cell>
          <cell r="BG21" t="str">
            <v>--</v>
          </cell>
          <cell r="BH21" t="str">
            <v>--</v>
          </cell>
          <cell r="BI21" t="str">
            <v>--</v>
          </cell>
          <cell r="BJ21" t="str">
            <v>--</v>
          </cell>
          <cell r="BK21" t="str">
            <v>--</v>
          </cell>
          <cell r="BL21" t="str">
            <v>--</v>
          </cell>
          <cell r="BM21" t="str">
            <v>--</v>
          </cell>
          <cell r="BN21">
            <v>47.5</v>
          </cell>
          <cell r="BO21">
            <v>51</v>
          </cell>
          <cell r="BP21">
            <v>35</v>
          </cell>
          <cell r="BQ21">
            <v>45</v>
          </cell>
          <cell r="BR21">
            <v>49</v>
          </cell>
          <cell r="BS21">
            <v>60</v>
          </cell>
          <cell r="BT21">
            <v>60</v>
          </cell>
          <cell r="BU21">
            <v>60</v>
          </cell>
          <cell r="BV21">
            <v>60</v>
          </cell>
          <cell r="BW21">
            <v>55</v>
          </cell>
          <cell r="BX21">
            <v>51</v>
          </cell>
          <cell r="BY21">
            <v>29</v>
          </cell>
          <cell r="BZ21">
            <v>39</v>
          </cell>
          <cell r="CA21">
            <v>46.5</v>
          </cell>
          <cell r="CB21">
            <v>60</v>
          </cell>
          <cell r="CC21">
            <v>60</v>
          </cell>
          <cell r="CD21">
            <v>60</v>
          </cell>
          <cell r="CE21">
            <v>60</v>
          </cell>
          <cell r="CF21">
            <v>20.7</v>
          </cell>
          <cell r="CG21">
            <v>18.600000000000001</v>
          </cell>
          <cell r="CH21">
            <v>30.4</v>
          </cell>
          <cell r="CI21">
            <v>27.4</v>
          </cell>
          <cell r="CJ21">
            <v>20.7</v>
          </cell>
          <cell r="CK21">
            <v>18.600000000000001</v>
          </cell>
          <cell r="CL21">
            <v>16.8</v>
          </cell>
          <cell r="CM21">
            <v>15.1</v>
          </cell>
          <cell r="CN21">
            <v>13.6</v>
          </cell>
          <cell r="CO21">
            <v>27.6</v>
          </cell>
          <cell r="CP21">
            <v>24.8</v>
          </cell>
          <cell r="CQ21">
            <v>40.6</v>
          </cell>
          <cell r="CR21">
            <v>36.5</v>
          </cell>
          <cell r="CS21">
            <v>29.3</v>
          </cell>
          <cell r="CT21">
            <v>26.4</v>
          </cell>
          <cell r="CU21">
            <v>23.7</v>
          </cell>
          <cell r="CV21">
            <v>21.4</v>
          </cell>
          <cell r="CW21">
            <v>19.2</v>
          </cell>
          <cell r="CX21">
            <v>75</v>
          </cell>
          <cell r="CY21">
            <v>67.5</v>
          </cell>
          <cell r="CZ21">
            <v>73.3</v>
          </cell>
          <cell r="DA21">
            <v>67.5</v>
          </cell>
          <cell r="DB21">
            <v>44.4</v>
          </cell>
          <cell r="DC21" t="str">
            <v>--</v>
          </cell>
          <cell r="DD21" t="str">
            <v>--</v>
          </cell>
          <cell r="DE21" t="str">
            <v>--</v>
          </cell>
          <cell r="DF21" t="str">
            <v>--</v>
          </cell>
          <cell r="DG21">
            <v>3.4</v>
          </cell>
          <cell r="DH21">
            <v>3.7</v>
          </cell>
          <cell r="DI21">
            <v>1.4</v>
          </cell>
          <cell r="DJ21">
            <v>1.5</v>
          </cell>
          <cell r="DK21">
            <v>1.7</v>
          </cell>
          <cell r="DL21">
            <v>1.9</v>
          </cell>
          <cell r="DM21">
            <v>2.1</v>
          </cell>
          <cell r="DN21">
            <v>2.2999999999999998</v>
          </cell>
          <cell r="DO21">
            <v>2.5</v>
          </cell>
          <cell r="DP21">
            <v>3.4</v>
          </cell>
          <cell r="DQ21">
            <v>3.7</v>
          </cell>
          <cell r="DR21">
            <v>2.9</v>
          </cell>
          <cell r="DS21">
            <v>3.2</v>
          </cell>
          <cell r="DT21">
            <v>1.7</v>
          </cell>
          <cell r="DU21">
            <v>1.9</v>
          </cell>
          <cell r="DV21">
            <v>2.1</v>
          </cell>
          <cell r="DW21">
            <v>2.2999999999999998</v>
          </cell>
          <cell r="DX21">
            <v>2.5</v>
          </cell>
          <cell r="DY21">
            <v>0</v>
          </cell>
          <cell r="DZ21">
            <v>1</v>
          </cell>
          <cell r="EA21">
            <v>0</v>
          </cell>
          <cell r="EB21">
            <v>1</v>
          </cell>
          <cell r="EC21">
            <v>0</v>
          </cell>
          <cell r="ED21" t="str">
            <v>--</v>
          </cell>
          <cell r="EE21" t="str">
            <v>--</v>
          </cell>
          <cell r="EF21" t="str">
            <v>--</v>
          </cell>
          <cell r="EG21" t="str">
            <v>--</v>
          </cell>
        </row>
        <row r="22">
          <cell r="A22" t="str">
            <v>00350094Multi-race, Non-Hisp./Lat.</v>
          </cell>
          <cell r="B22" t="str">
            <v>00350094M</v>
          </cell>
          <cell r="C22" t="str">
            <v>0035</v>
          </cell>
          <cell r="D22" t="str">
            <v>00350094</v>
          </cell>
          <cell r="E22" t="str">
            <v>Boston</v>
          </cell>
          <cell r="F22" t="str">
            <v>Elihu Greenwood Leadership Academy</v>
          </cell>
          <cell r="G22" t="str">
            <v>ES</v>
          </cell>
          <cell r="H22" t="str">
            <v>Boston - Elihu Greenwood Leadership Academy (00350094)</v>
          </cell>
          <cell r="I22" t="str">
            <v>Multi-race, Non-Hisp./Lat.</v>
          </cell>
          <cell r="J22" t="str">
            <v>00350094Multi-race, Non-Hisp./Lat.</v>
          </cell>
          <cell r="K22" t="str">
            <v>Level 4</v>
          </cell>
          <cell r="L22" t="str">
            <v>--</v>
          </cell>
          <cell r="M22" t="str">
            <v>--</v>
          </cell>
          <cell r="N22" t="str">
            <v>--</v>
          </cell>
          <cell r="O22" t="str">
            <v>--</v>
          </cell>
          <cell r="P22" t="str">
            <v>--</v>
          </cell>
          <cell r="Q22" t="str">
            <v>--</v>
          </cell>
          <cell r="R22" t="str">
            <v>--</v>
          </cell>
          <cell r="S22" t="str">
            <v>--</v>
          </cell>
          <cell r="T22" t="str">
            <v>--</v>
          </cell>
          <cell r="U22" t="str">
            <v>--</v>
          </cell>
          <cell r="V22" t="str">
            <v>--</v>
          </cell>
          <cell r="W22" t="str">
            <v>--</v>
          </cell>
          <cell r="X22" t="str">
            <v>--</v>
          </cell>
          <cell r="Y22" t="str">
            <v>--</v>
          </cell>
          <cell r="Z22" t="str">
            <v>--</v>
          </cell>
          <cell r="AA22" t="str">
            <v>--</v>
          </cell>
          <cell r="AB22" t="str">
            <v>--</v>
          </cell>
          <cell r="AC22" t="str">
            <v>--</v>
          </cell>
          <cell r="AD22" t="str">
            <v>--</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t="str">
            <v>--</v>
          </cell>
          <cell r="AQ22" t="str">
            <v>--</v>
          </cell>
          <cell r="AR22" t="str">
            <v>--</v>
          </cell>
          <cell r="AS22" t="str">
            <v>--</v>
          </cell>
          <cell r="AT22" t="str">
            <v>--</v>
          </cell>
          <cell r="AU22" t="str">
            <v>--</v>
          </cell>
          <cell r="AV22" t="str">
            <v>--</v>
          </cell>
          <cell r="AW22" t="str">
            <v>--</v>
          </cell>
          <cell r="AX22" t="str">
            <v>--</v>
          </cell>
          <cell r="AY22" t="str">
            <v>--</v>
          </cell>
          <cell r="AZ22" t="str">
            <v>--</v>
          </cell>
          <cell r="BA22" t="str">
            <v>--</v>
          </cell>
          <cell r="BB22" t="str">
            <v>--</v>
          </cell>
          <cell r="BC22" t="str">
            <v>--</v>
          </cell>
          <cell r="BD22" t="str">
            <v>--</v>
          </cell>
          <cell r="BE22" t="str">
            <v>--</v>
          </cell>
          <cell r="BF22" t="str">
            <v>--</v>
          </cell>
          <cell r="BG22" t="str">
            <v>--</v>
          </cell>
          <cell r="BH22" t="str">
            <v>--</v>
          </cell>
          <cell r="BI22" t="str">
            <v>--</v>
          </cell>
          <cell r="BJ22" t="str">
            <v>--</v>
          </cell>
          <cell r="BK22" t="str">
            <v>--</v>
          </cell>
          <cell r="BL22" t="str">
            <v>--</v>
          </cell>
          <cell r="BM22" t="str">
            <v>--</v>
          </cell>
          <cell r="BN22" t="str">
            <v>--</v>
          </cell>
          <cell r="BO22" t="str">
            <v>--</v>
          </cell>
          <cell r="BP22" t="str">
            <v>--</v>
          </cell>
          <cell r="BQ22" t="str">
            <v>--</v>
          </cell>
          <cell r="BR22" t="str">
            <v>--</v>
          </cell>
          <cell r="BS22" t="str">
            <v>--</v>
          </cell>
          <cell r="BT22" t="str">
            <v>--</v>
          </cell>
          <cell r="BU22" t="str">
            <v>--</v>
          </cell>
          <cell r="BV22" t="str">
            <v>--</v>
          </cell>
          <cell r="BW22" t="str">
            <v>--</v>
          </cell>
          <cell r="BX22" t="str">
            <v>--</v>
          </cell>
          <cell r="BY22" t="str">
            <v>--</v>
          </cell>
          <cell r="BZ22" t="str">
            <v>--</v>
          </cell>
          <cell r="CA22" t="str">
            <v>--</v>
          </cell>
          <cell r="CB22" t="str">
            <v>--</v>
          </cell>
          <cell r="CC22" t="str">
            <v>--</v>
          </cell>
          <cell r="CD22" t="str">
            <v>--</v>
          </cell>
          <cell r="CE22" t="str">
            <v>--</v>
          </cell>
          <cell r="CF22" t="str">
            <v>--</v>
          </cell>
          <cell r="CG22" t="str">
            <v>--</v>
          </cell>
          <cell r="CH22" t="str">
            <v>--</v>
          </cell>
          <cell r="CI22" t="str">
            <v>--</v>
          </cell>
          <cell r="CJ22" t="str">
            <v>--</v>
          </cell>
          <cell r="CK22" t="str">
            <v>--</v>
          </cell>
          <cell r="CL22" t="str">
            <v>--</v>
          </cell>
          <cell r="CM22" t="str">
            <v>--</v>
          </cell>
          <cell r="CN22" t="str">
            <v>--</v>
          </cell>
          <cell r="CO22" t="str">
            <v>--</v>
          </cell>
          <cell r="CP22" t="str">
            <v>--</v>
          </cell>
          <cell r="CQ22" t="str">
            <v>--</v>
          </cell>
          <cell r="CR22" t="str">
            <v>--</v>
          </cell>
          <cell r="CS22" t="str">
            <v>--</v>
          </cell>
          <cell r="CT22" t="str">
            <v>--</v>
          </cell>
          <cell r="CU22" t="str">
            <v>--</v>
          </cell>
          <cell r="CV22" t="str">
            <v>--</v>
          </cell>
          <cell r="CW22" t="str">
            <v>--</v>
          </cell>
          <cell r="CX22" t="str">
            <v>--</v>
          </cell>
          <cell r="CY22" t="str">
            <v>--</v>
          </cell>
          <cell r="CZ22" t="str">
            <v>--</v>
          </cell>
          <cell r="DA22" t="str">
            <v>--</v>
          </cell>
          <cell r="DB22" t="str">
            <v>--</v>
          </cell>
          <cell r="DC22" t="str">
            <v>--</v>
          </cell>
          <cell r="DD22" t="str">
            <v>--</v>
          </cell>
          <cell r="DE22" t="str">
            <v>--</v>
          </cell>
          <cell r="DF22" t="str">
            <v>--</v>
          </cell>
          <cell r="DG22" t="str">
            <v>--</v>
          </cell>
          <cell r="DH22" t="str">
            <v>--</v>
          </cell>
          <cell r="DI22" t="str">
            <v>--</v>
          </cell>
          <cell r="DJ22" t="str">
            <v>--</v>
          </cell>
          <cell r="DK22" t="str">
            <v>--</v>
          </cell>
          <cell r="DL22" t="str">
            <v>--</v>
          </cell>
          <cell r="DM22" t="str">
            <v>--</v>
          </cell>
          <cell r="DN22" t="str">
            <v>--</v>
          </cell>
          <cell r="DO22" t="str">
            <v>--</v>
          </cell>
          <cell r="DP22" t="str">
            <v>--</v>
          </cell>
          <cell r="DQ22" t="str">
            <v>--</v>
          </cell>
          <cell r="DR22" t="str">
            <v>--</v>
          </cell>
          <cell r="DS22" t="str">
            <v>--</v>
          </cell>
          <cell r="DT22" t="str">
            <v>--</v>
          </cell>
          <cell r="DU22" t="str">
            <v>--</v>
          </cell>
          <cell r="DV22" t="str">
            <v>--</v>
          </cell>
          <cell r="DW22" t="str">
            <v>--</v>
          </cell>
          <cell r="DX22" t="str">
            <v>--</v>
          </cell>
          <cell r="DY22" t="str">
            <v>--</v>
          </cell>
          <cell r="DZ22" t="str">
            <v>--</v>
          </cell>
          <cell r="EA22" t="str">
            <v>--</v>
          </cell>
          <cell r="EB22" t="str">
            <v>--</v>
          </cell>
          <cell r="EC22" t="str">
            <v>--</v>
          </cell>
          <cell r="ED22" t="str">
            <v>--</v>
          </cell>
          <cell r="EE22" t="str">
            <v>--</v>
          </cell>
          <cell r="EF22" t="str">
            <v>--</v>
          </cell>
          <cell r="EG22" t="str">
            <v>--</v>
          </cell>
        </row>
        <row r="23">
          <cell r="A23" t="str">
            <v>00350094Amer. Ind. or Alaska Nat.</v>
          </cell>
          <cell r="B23" t="str">
            <v>00350094N</v>
          </cell>
          <cell r="C23" t="str">
            <v>0035</v>
          </cell>
          <cell r="D23" t="str">
            <v>00350094</v>
          </cell>
          <cell r="E23" t="str">
            <v>Boston</v>
          </cell>
          <cell r="F23" t="str">
            <v>Elihu Greenwood Leadership Academy</v>
          </cell>
          <cell r="G23" t="str">
            <v>ES</v>
          </cell>
          <cell r="H23" t="str">
            <v>Boston - Elihu Greenwood Leadership Academy (00350094)</v>
          </cell>
          <cell r="I23" t="str">
            <v>Amer. Ind. or Alaska Nat.</v>
          </cell>
          <cell r="J23" t="str">
            <v>00350094Amer. Ind. or Alaska Nat.</v>
          </cell>
          <cell r="K23" t="str">
            <v>--</v>
          </cell>
          <cell r="L23" t="str">
            <v>--</v>
          </cell>
          <cell r="M23" t="str">
            <v>--</v>
          </cell>
          <cell r="N23" t="str">
            <v>--</v>
          </cell>
          <cell r="O23" t="str">
            <v>--</v>
          </cell>
          <cell r="P23" t="str">
            <v>--</v>
          </cell>
          <cell r="Q23" t="str">
            <v>--</v>
          </cell>
          <cell r="R23" t="str">
            <v>--</v>
          </cell>
          <cell r="S23" t="str">
            <v>--</v>
          </cell>
          <cell r="T23" t="str">
            <v>--</v>
          </cell>
          <cell r="U23" t="str">
            <v>--</v>
          </cell>
          <cell r="V23" t="str">
            <v>--</v>
          </cell>
          <cell r="W23" t="str">
            <v>--</v>
          </cell>
          <cell r="X23" t="str">
            <v>--</v>
          </cell>
          <cell r="Y23" t="str">
            <v>--</v>
          </cell>
          <cell r="Z23" t="str">
            <v>--</v>
          </cell>
          <cell r="AA23" t="str">
            <v>--</v>
          </cell>
          <cell r="AB23" t="str">
            <v>--</v>
          </cell>
          <cell r="AC23" t="str">
            <v>--</v>
          </cell>
          <cell r="AD23" t="str">
            <v>--</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t="str">
            <v>--</v>
          </cell>
          <cell r="BG23" t="str">
            <v>--</v>
          </cell>
          <cell r="BH23" t="str">
            <v>--</v>
          </cell>
          <cell r="BI23" t="str">
            <v>--</v>
          </cell>
          <cell r="BJ23" t="str">
            <v>--</v>
          </cell>
          <cell r="BK23" t="str">
            <v>--</v>
          </cell>
          <cell r="BL23" t="str">
            <v>--</v>
          </cell>
          <cell r="BM23" t="str">
            <v>--</v>
          </cell>
          <cell r="BN23" t="str">
            <v>--</v>
          </cell>
          <cell r="BO23" t="str">
            <v>--</v>
          </cell>
          <cell r="BP23" t="str">
            <v>--</v>
          </cell>
          <cell r="BQ23" t="str">
            <v>--</v>
          </cell>
          <cell r="BR23" t="str">
            <v>--</v>
          </cell>
          <cell r="BS23" t="str">
            <v>--</v>
          </cell>
          <cell r="BT23" t="str">
            <v>--</v>
          </cell>
          <cell r="BU23" t="str">
            <v>--</v>
          </cell>
          <cell r="BV23" t="str">
            <v>--</v>
          </cell>
          <cell r="BW23" t="str">
            <v>--</v>
          </cell>
          <cell r="BX23" t="str">
            <v>--</v>
          </cell>
          <cell r="BY23" t="str">
            <v>--</v>
          </cell>
          <cell r="BZ23" t="str">
            <v>--</v>
          </cell>
          <cell r="CA23" t="str">
            <v>--</v>
          </cell>
          <cell r="CB23" t="str">
            <v>--</v>
          </cell>
          <cell r="CC23" t="str">
            <v>--</v>
          </cell>
          <cell r="CD23" t="str">
            <v>--</v>
          </cell>
          <cell r="CE23" t="str">
            <v>--</v>
          </cell>
          <cell r="CF23" t="str">
            <v>--</v>
          </cell>
          <cell r="CG23" t="str">
            <v>--</v>
          </cell>
          <cell r="CH23" t="str">
            <v>--</v>
          </cell>
          <cell r="CI23" t="str">
            <v>--</v>
          </cell>
          <cell r="CJ23" t="str">
            <v>--</v>
          </cell>
          <cell r="CK23" t="str">
            <v>--</v>
          </cell>
          <cell r="CL23" t="str">
            <v>--</v>
          </cell>
          <cell r="CM23" t="str">
            <v>--</v>
          </cell>
          <cell r="CN23" t="str">
            <v>--</v>
          </cell>
          <cell r="CO23" t="str">
            <v>--</v>
          </cell>
          <cell r="CP23" t="str">
            <v>--</v>
          </cell>
          <cell r="CQ23" t="str">
            <v>--</v>
          </cell>
          <cell r="CR23" t="str">
            <v>--</v>
          </cell>
          <cell r="CS23" t="str">
            <v>--</v>
          </cell>
          <cell r="CT23" t="str">
            <v>--</v>
          </cell>
          <cell r="CU23" t="str">
            <v>--</v>
          </cell>
          <cell r="CV23" t="str">
            <v>--</v>
          </cell>
          <cell r="CW23" t="str">
            <v>--</v>
          </cell>
          <cell r="CX23" t="str">
            <v>--</v>
          </cell>
          <cell r="CY23" t="str">
            <v>--</v>
          </cell>
          <cell r="CZ23" t="str">
            <v>--</v>
          </cell>
          <cell r="DA23" t="str">
            <v>--</v>
          </cell>
          <cell r="DB23" t="str">
            <v>--</v>
          </cell>
          <cell r="DC23" t="str">
            <v>--</v>
          </cell>
          <cell r="DD23" t="str">
            <v>--</v>
          </cell>
          <cell r="DE23" t="str">
            <v>--</v>
          </cell>
          <cell r="DF23" t="str">
            <v>--</v>
          </cell>
          <cell r="DG23" t="str">
            <v>--</v>
          </cell>
          <cell r="DH23" t="str">
            <v>--</v>
          </cell>
          <cell r="DI23" t="str">
            <v>--</v>
          </cell>
          <cell r="DJ23" t="str">
            <v>--</v>
          </cell>
          <cell r="DK23" t="str">
            <v>--</v>
          </cell>
          <cell r="DL23" t="str">
            <v>--</v>
          </cell>
          <cell r="DM23" t="str">
            <v>--</v>
          </cell>
          <cell r="DN23" t="str">
            <v>--</v>
          </cell>
          <cell r="DO23" t="str">
            <v>--</v>
          </cell>
          <cell r="DP23" t="str">
            <v>--</v>
          </cell>
          <cell r="DQ23" t="str">
            <v>--</v>
          </cell>
          <cell r="DR23" t="str">
            <v>--</v>
          </cell>
          <cell r="DS23" t="str">
            <v>--</v>
          </cell>
          <cell r="DT23" t="str">
            <v>--</v>
          </cell>
          <cell r="DU23" t="str">
            <v>--</v>
          </cell>
          <cell r="DV23" t="str">
            <v>--</v>
          </cell>
          <cell r="DW23" t="str">
            <v>--</v>
          </cell>
          <cell r="DX23" t="str">
            <v>--</v>
          </cell>
          <cell r="DY23" t="str">
            <v>--</v>
          </cell>
          <cell r="DZ23" t="str">
            <v>--</v>
          </cell>
          <cell r="EA23" t="str">
            <v>--</v>
          </cell>
          <cell r="EB23" t="str">
            <v>--</v>
          </cell>
          <cell r="EC23" t="str">
            <v>--</v>
          </cell>
          <cell r="ED23" t="str">
            <v>--</v>
          </cell>
          <cell r="EE23" t="str">
            <v>--</v>
          </cell>
          <cell r="EF23" t="str">
            <v>--</v>
          </cell>
          <cell r="EG23" t="str">
            <v>--</v>
          </cell>
        </row>
        <row r="24">
          <cell r="A24" t="str">
            <v>00350094Nat. Haw. or Pacif. Isl.</v>
          </cell>
          <cell r="B24" t="str">
            <v>00350094P</v>
          </cell>
          <cell r="C24" t="str">
            <v>0035</v>
          </cell>
          <cell r="D24" t="str">
            <v>00350094</v>
          </cell>
          <cell r="E24" t="str">
            <v>Boston</v>
          </cell>
          <cell r="F24" t="str">
            <v>Elihu Greenwood Leadership Academy</v>
          </cell>
          <cell r="G24" t="str">
            <v>ES</v>
          </cell>
          <cell r="H24" t="str">
            <v>Boston - Elihu Greenwood Leadership Academy (00350094)</v>
          </cell>
          <cell r="I24" t="str">
            <v>Nat. Haw. or Pacif. Isl.</v>
          </cell>
          <cell r="J24" t="str">
            <v>00350094Nat. Haw. or Pacif. Isl.</v>
          </cell>
          <cell r="K24" t="str">
            <v>Level 4</v>
          </cell>
          <cell r="L24" t="str">
            <v>--</v>
          </cell>
          <cell r="M24" t="str">
            <v>--</v>
          </cell>
          <cell r="N24" t="str">
            <v>--</v>
          </cell>
          <cell r="O24" t="str">
            <v>--</v>
          </cell>
          <cell r="P24" t="str">
            <v>--</v>
          </cell>
          <cell r="Q24" t="str">
            <v>--</v>
          </cell>
          <cell r="R24" t="str">
            <v>--</v>
          </cell>
          <cell r="S24" t="str">
            <v>--</v>
          </cell>
          <cell r="T24" t="str">
            <v>--</v>
          </cell>
          <cell r="U24" t="str">
            <v>--</v>
          </cell>
          <cell r="V24" t="str">
            <v>--</v>
          </cell>
          <cell r="W24" t="str">
            <v>--</v>
          </cell>
          <cell r="X24" t="str">
            <v>--</v>
          </cell>
          <cell r="Y24" t="str">
            <v>--</v>
          </cell>
          <cell r="Z24" t="str">
            <v>--</v>
          </cell>
          <cell r="AA24" t="str">
            <v>--</v>
          </cell>
          <cell r="AB24" t="str">
            <v>--</v>
          </cell>
          <cell r="AC24" t="str">
            <v>--</v>
          </cell>
          <cell r="AD24" t="str">
            <v>--</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t="str">
            <v>--</v>
          </cell>
          <cell r="AQ24" t="str">
            <v>--</v>
          </cell>
          <cell r="AR24" t="str">
            <v>--</v>
          </cell>
          <cell r="AS24" t="str">
            <v>--</v>
          </cell>
          <cell r="AT24" t="str">
            <v>--</v>
          </cell>
          <cell r="AU24" t="str">
            <v>--</v>
          </cell>
          <cell r="AV24" t="str">
            <v>--</v>
          </cell>
          <cell r="AW24" t="str">
            <v>--</v>
          </cell>
          <cell r="AX24" t="str">
            <v>--</v>
          </cell>
          <cell r="AY24" t="str">
            <v>--</v>
          </cell>
          <cell r="AZ24" t="str">
            <v>--</v>
          </cell>
          <cell r="BA24" t="str">
            <v>--</v>
          </cell>
          <cell r="BB24" t="str">
            <v>--</v>
          </cell>
          <cell r="BC24" t="str">
            <v>--</v>
          </cell>
          <cell r="BD24" t="str">
            <v>--</v>
          </cell>
          <cell r="BE24" t="str">
            <v>--</v>
          </cell>
          <cell r="BF24" t="str">
            <v>--</v>
          </cell>
          <cell r="BG24" t="str">
            <v>--</v>
          </cell>
          <cell r="BH24" t="str">
            <v>--</v>
          </cell>
          <cell r="BI24" t="str">
            <v>--</v>
          </cell>
          <cell r="BJ24" t="str">
            <v>--</v>
          </cell>
          <cell r="BK24" t="str">
            <v>--</v>
          </cell>
          <cell r="BL24" t="str">
            <v>--</v>
          </cell>
          <cell r="BM24" t="str">
            <v>--</v>
          </cell>
          <cell r="BN24" t="str">
            <v>--</v>
          </cell>
          <cell r="BO24" t="str">
            <v>--</v>
          </cell>
          <cell r="BP24" t="str">
            <v>--</v>
          </cell>
          <cell r="BQ24" t="str">
            <v>--</v>
          </cell>
          <cell r="BR24" t="str">
            <v>--</v>
          </cell>
          <cell r="BS24" t="str">
            <v>--</v>
          </cell>
          <cell r="BT24" t="str">
            <v>--</v>
          </cell>
          <cell r="BU24" t="str">
            <v>--</v>
          </cell>
          <cell r="BV24" t="str">
            <v>--</v>
          </cell>
          <cell r="BW24" t="str">
            <v>--</v>
          </cell>
          <cell r="BX24" t="str">
            <v>--</v>
          </cell>
          <cell r="BY24" t="str">
            <v>--</v>
          </cell>
          <cell r="BZ24" t="str">
            <v>--</v>
          </cell>
          <cell r="CA24" t="str">
            <v>--</v>
          </cell>
          <cell r="CB24" t="str">
            <v>--</v>
          </cell>
          <cell r="CC24" t="str">
            <v>--</v>
          </cell>
          <cell r="CD24" t="str">
            <v>--</v>
          </cell>
          <cell r="CE24" t="str">
            <v>--</v>
          </cell>
          <cell r="CF24" t="str">
            <v>--</v>
          </cell>
          <cell r="CG24" t="str">
            <v>--</v>
          </cell>
          <cell r="CH24" t="str">
            <v>--</v>
          </cell>
          <cell r="CI24" t="str">
            <v>--</v>
          </cell>
          <cell r="CJ24" t="str">
            <v>--</v>
          </cell>
          <cell r="CK24" t="str">
            <v>--</v>
          </cell>
          <cell r="CL24" t="str">
            <v>--</v>
          </cell>
          <cell r="CM24" t="str">
            <v>--</v>
          </cell>
          <cell r="CN24" t="str">
            <v>--</v>
          </cell>
          <cell r="CO24" t="str">
            <v>--</v>
          </cell>
          <cell r="CP24" t="str">
            <v>--</v>
          </cell>
          <cell r="CQ24" t="str">
            <v>--</v>
          </cell>
          <cell r="CR24" t="str">
            <v>--</v>
          </cell>
          <cell r="CS24" t="str">
            <v>--</v>
          </cell>
          <cell r="CT24" t="str">
            <v>--</v>
          </cell>
          <cell r="CU24" t="str">
            <v>--</v>
          </cell>
          <cell r="CV24" t="str">
            <v>--</v>
          </cell>
          <cell r="CW24" t="str">
            <v>--</v>
          </cell>
          <cell r="CX24" t="str">
            <v>--</v>
          </cell>
          <cell r="CY24" t="str">
            <v>--</v>
          </cell>
          <cell r="CZ24" t="str">
            <v>--</v>
          </cell>
          <cell r="DA24" t="str">
            <v>--</v>
          </cell>
          <cell r="DB24" t="str">
            <v>--</v>
          </cell>
          <cell r="DC24" t="str">
            <v>--</v>
          </cell>
          <cell r="DD24" t="str">
            <v>--</v>
          </cell>
          <cell r="DE24" t="str">
            <v>--</v>
          </cell>
          <cell r="DF24" t="str">
            <v>--</v>
          </cell>
          <cell r="DG24" t="str">
            <v>--</v>
          </cell>
          <cell r="DH24" t="str">
            <v>--</v>
          </cell>
          <cell r="DI24" t="str">
            <v>--</v>
          </cell>
          <cell r="DJ24" t="str">
            <v>--</v>
          </cell>
          <cell r="DK24" t="str">
            <v>--</v>
          </cell>
          <cell r="DL24" t="str">
            <v>--</v>
          </cell>
          <cell r="DM24" t="str">
            <v>--</v>
          </cell>
          <cell r="DN24" t="str">
            <v>--</v>
          </cell>
          <cell r="DO24" t="str">
            <v>--</v>
          </cell>
          <cell r="DP24" t="str">
            <v>--</v>
          </cell>
          <cell r="DQ24" t="str">
            <v>--</v>
          </cell>
          <cell r="DR24" t="str">
            <v>--</v>
          </cell>
          <cell r="DS24" t="str">
            <v>--</v>
          </cell>
          <cell r="DT24" t="str">
            <v>--</v>
          </cell>
          <cell r="DU24" t="str">
            <v>--</v>
          </cell>
          <cell r="DV24" t="str">
            <v>--</v>
          </cell>
          <cell r="DW24" t="str">
            <v>--</v>
          </cell>
          <cell r="DX24" t="str">
            <v>--</v>
          </cell>
          <cell r="DY24" t="str">
            <v>--</v>
          </cell>
          <cell r="DZ24" t="str">
            <v>--</v>
          </cell>
          <cell r="EA24" t="str">
            <v>--</v>
          </cell>
          <cell r="EB24" t="str">
            <v>--</v>
          </cell>
          <cell r="EC24" t="str">
            <v>--</v>
          </cell>
          <cell r="ED24" t="str">
            <v>--</v>
          </cell>
          <cell r="EE24" t="str">
            <v>--</v>
          </cell>
          <cell r="EF24" t="str">
            <v>--</v>
          </cell>
          <cell r="EG24" t="str">
            <v>--</v>
          </cell>
        </row>
        <row r="25">
          <cell r="A25" t="str">
            <v>00350094High needs</v>
          </cell>
          <cell r="B25" t="str">
            <v>00350094S</v>
          </cell>
          <cell r="C25" t="str">
            <v>0035</v>
          </cell>
          <cell r="D25" t="str">
            <v>00350094</v>
          </cell>
          <cell r="E25" t="str">
            <v>Boston</v>
          </cell>
          <cell r="F25" t="str">
            <v>Elihu Greenwood Leadership Academy</v>
          </cell>
          <cell r="G25" t="str">
            <v>ES</v>
          </cell>
          <cell r="H25" t="str">
            <v>Boston - Elihu Greenwood Leadership Academy (00350094)</v>
          </cell>
          <cell r="I25" t="str">
            <v>High needs</v>
          </cell>
          <cell r="J25" t="str">
            <v>00350094High needs</v>
          </cell>
          <cell r="K25" t="str">
            <v>Level 4</v>
          </cell>
          <cell r="L25">
            <v>64.2</v>
          </cell>
          <cell r="M25">
            <v>67.2</v>
          </cell>
          <cell r="N25">
            <v>57</v>
          </cell>
          <cell r="O25">
            <v>70.2</v>
          </cell>
          <cell r="P25">
            <v>70.400000000000006</v>
          </cell>
          <cell r="Q25">
            <v>74.5</v>
          </cell>
          <cell r="R25">
            <v>77.400000000000006</v>
          </cell>
          <cell r="S25">
            <v>80.400000000000006</v>
          </cell>
          <cell r="T25">
            <v>83.4</v>
          </cell>
          <cell r="U25">
            <v>61.8</v>
          </cell>
          <cell r="V25">
            <v>65</v>
          </cell>
          <cell r="W25">
            <v>49.1</v>
          </cell>
          <cell r="X25">
            <v>68.2</v>
          </cell>
          <cell r="Y25">
            <v>64.599999999999994</v>
          </cell>
          <cell r="Z25">
            <v>72.7</v>
          </cell>
          <cell r="AA25">
            <v>75.8</v>
          </cell>
          <cell r="AB25">
            <v>79</v>
          </cell>
          <cell r="AC25">
            <v>82.2</v>
          </cell>
          <cell r="AD25">
            <v>37.799999999999997</v>
          </cell>
          <cell r="AE25">
            <v>43</v>
          </cell>
          <cell r="AF25">
            <v>39.299999999999997</v>
          </cell>
          <cell r="AG25">
            <v>48.2</v>
          </cell>
          <cell r="AH25">
            <v>58.7</v>
          </cell>
          <cell r="AI25">
            <v>54.7</v>
          </cell>
          <cell r="AJ25">
            <v>59.8</v>
          </cell>
          <cell r="AK25">
            <v>65</v>
          </cell>
          <cell r="AL25">
            <v>70.2</v>
          </cell>
          <cell r="AM25" t="str">
            <v>--</v>
          </cell>
          <cell r="AN25" t="str">
            <v>--</v>
          </cell>
          <cell r="AO25" t="str">
            <v>--</v>
          </cell>
          <cell r="AP25" t="str">
            <v>--</v>
          </cell>
          <cell r="AQ25" t="str">
            <v>--</v>
          </cell>
          <cell r="AR25" t="str">
            <v>--</v>
          </cell>
          <cell r="AS25" t="str">
            <v>--</v>
          </cell>
          <cell r="AT25" t="str">
            <v>--</v>
          </cell>
          <cell r="AU25" t="str">
            <v>--</v>
          </cell>
          <cell r="AV25" t="str">
            <v>--</v>
          </cell>
          <cell r="AW25" t="str">
            <v>--</v>
          </cell>
          <cell r="AX25" t="str">
            <v>--</v>
          </cell>
          <cell r="AY25" t="str">
            <v>--</v>
          </cell>
          <cell r="AZ25" t="str">
            <v>--</v>
          </cell>
          <cell r="BA25" t="str">
            <v>--</v>
          </cell>
          <cell r="BB25" t="str">
            <v>--</v>
          </cell>
          <cell r="BC25" t="str">
            <v>--</v>
          </cell>
          <cell r="BD25" t="str">
            <v>--</v>
          </cell>
          <cell r="BE25" t="str">
            <v>--</v>
          </cell>
          <cell r="BF25" t="str">
            <v>--</v>
          </cell>
          <cell r="BG25" t="str">
            <v>--</v>
          </cell>
          <cell r="BH25" t="str">
            <v>--</v>
          </cell>
          <cell r="BI25" t="str">
            <v>--</v>
          </cell>
          <cell r="BJ25" t="str">
            <v>--</v>
          </cell>
          <cell r="BK25" t="str">
            <v>--</v>
          </cell>
          <cell r="BL25" t="str">
            <v>--</v>
          </cell>
          <cell r="BM25" t="str">
            <v>--</v>
          </cell>
          <cell r="BN25">
            <v>49</v>
          </cell>
          <cell r="BO25">
            <v>51</v>
          </cell>
          <cell r="BP25">
            <v>38</v>
          </cell>
          <cell r="BQ25">
            <v>48</v>
          </cell>
          <cell r="BR25">
            <v>49</v>
          </cell>
          <cell r="BS25">
            <v>60</v>
          </cell>
          <cell r="BT25">
            <v>60</v>
          </cell>
          <cell r="BU25">
            <v>60</v>
          </cell>
          <cell r="BV25">
            <v>60</v>
          </cell>
          <cell r="BW25">
            <v>41</v>
          </cell>
          <cell r="BX25">
            <v>51</v>
          </cell>
          <cell r="BY25">
            <v>37</v>
          </cell>
          <cell r="BZ25">
            <v>47</v>
          </cell>
          <cell r="CA25">
            <v>40</v>
          </cell>
          <cell r="CB25">
            <v>54.5</v>
          </cell>
          <cell r="CC25">
            <v>60</v>
          </cell>
          <cell r="CD25">
            <v>60</v>
          </cell>
          <cell r="CE25">
            <v>60</v>
          </cell>
          <cell r="CF25">
            <v>21.6</v>
          </cell>
          <cell r="CG25">
            <v>19.399999999999999</v>
          </cell>
          <cell r="CH25">
            <v>30.5</v>
          </cell>
          <cell r="CI25">
            <v>27.5</v>
          </cell>
          <cell r="CJ25">
            <v>15.9</v>
          </cell>
          <cell r="CK25">
            <v>14.3</v>
          </cell>
          <cell r="CL25">
            <v>12.9</v>
          </cell>
          <cell r="CM25">
            <v>11.6</v>
          </cell>
          <cell r="CN25">
            <v>10.4</v>
          </cell>
          <cell r="CO25">
            <v>30.4</v>
          </cell>
          <cell r="CP25">
            <v>27.4</v>
          </cell>
          <cell r="CQ25">
            <v>44.8</v>
          </cell>
          <cell r="CR25">
            <v>40.299999999999997</v>
          </cell>
          <cell r="CS25">
            <v>26.5</v>
          </cell>
          <cell r="CT25">
            <v>23.9</v>
          </cell>
          <cell r="CU25">
            <v>21.5</v>
          </cell>
          <cell r="CV25">
            <v>19.3</v>
          </cell>
          <cell r="CW25">
            <v>17.399999999999999</v>
          </cell>
          <cell r="CX25">
            <v>55.6</v>
          </cell>
          <cell r="CY25">
            <v>50</v>
          </cell>
          <cell r="CZ25">
            <v>63.3</v>
          </cell>
          <cell r="DA25">
            <v>57</v>
          </cell>
          <cell r="DB25">
            <v>36.700000000000003</v>
          </cell>
          <cell r="DC25">
            <v>33</v>
          </cell>
          <cell r="DD25">
            <v>29.7</v>
          </cell>
          <cell r="DE25">
            <v>26.8</v>
          </cell>
          <cell r="DF25">
            <v>24.1</v>
          </cell>
          <cell r="DG25">
            <v>2</v>
          </cell>
          <cell r="DH25">
            <v>2.2000000000000002</v>
          </cell>
          <cell r="DI25">
            <v>1.2</v>
          </cell>
          <cell r="DJ25">
            <v>1.3</v>
          </cell>
          <cell r="DK25">
            <v>2.9</v>
          </cell>
          <cell r="DL25">
            <v>3.2</v>
          </cell>
          <cell r="DM25">
            <v>3.5</v>
          </cell>
          <cell r="DN25">
            <v>3.9</v>
          </cell>
          <cell r="DO25">
            <v>4.2</v>
          </cell>
          <cell r="DP25">
            <v>5.4</v>
          </cell>
          <cell r="DQ25">
            <v>5.9</v>
          </cell>
          <cell r="DR25">
            <v>3.7</v>
          </cell>
          <cell r="DS25">
            <v>4.0999999999999996</v>
          </cell>
          <cell r="DT25">
            <v>4.7</v>
          </cell>
          <cell r="DU25">
            <v>5.2</v>
          </cell>
          <cell r="DV25">
            <v>5.7</v>
          </cell>
          <cell r="DW25">
            <v>6.3</v>
          </cell>
          <cell r="DX25">
            <v>6.9</v>
          </cell>
          <cell r="DY25">
            <v>0</v>
          </cell>
          <cell r="DZ25">
            <v>1</v>
          </cell>
          <cell r="EA25">
            <v>0</v>
          </cell>
          <cell r="EB25">
            <v>1</v>
          </cell>
          <cell r="EC25">
            <v>0</v>
          </cell>
          <cell r="ED25">
            <v>1</v>
          </cell>
          <cell r="EE25">
            <v>1.1000000000000001</v>
          </cell>
          <cell r="EF25">
            <v>1.2</v>
          </cell>
          <cell r="EG25">
            <v>1.3</v>
          </cell>
        </row>
        <row r="26">
          <cell r="A26" t="str">
            <v>00350094All students</v>
          </cell>
          <cell r="B26" t="str">
            <v>00350094T</v>
          </cell>
          <cell r="C26" t="str">
            <v>0035</v>
          </cell>
          <cell r="D26" t="str">
            <v>00350094</v>
          </cell>
          <cell r="E26" t="str">
            <v>Boston</v>
          </cell>
          <cell r="F26" t="str">
            <v>Elihu Greenwood Leadership Academy</v>
          </cell>
          <cell r="G26" t="str">
            <v>ES</v>
          </cell>
          <cell r="H26" t="str">
            <v>Boston - Elihu Greenwood Leadership Academy (00350094)</v>
          </cell>
          <cell r="I26" t="str">
            <v>All students</v>
          </cell>
          <cell r="J26" t="str">
            <v>00350094All students</v>
          </cell>
          <cell r="K26" t="str">
            <v>Level 4</v>
          </cell>
          <cell r="L26">
            <v>64.599999999999994</v>
          </cell>
          <cell r="M26">
            <v>67.599999999999994</v>
          </cell>
          <cell r="N26">
            <v>58.8</v>
          </cell>
          <cell r="O26">
            <v>70.5</v>
          </cell>
          <cell r="P26">
            <v>70.400000000000006</v>
          </cell>
          <cell r="Q26">
            <v>74.8</v>
          </cell>
          <cell r="R26">
            <v>77.7</v>
          </cell>
          <cell r="S26">
            <v>80.7</v>
          </cell>
          <cell r="T26">
            <v>83.6</v>
          </cell>
          <cell r="U26">
            <v>61.9</v>
          </cell>
          <cell r="V26">
            <v>65.099999999999994</v>
          </cell>
          <cell r="W26">
            <v>51.3</v>
          </cell>
          <cell r="X26">
            <v>68.3</v>
          </cell>
          <cell r="Y26">
            <v>64.8</v>
          </cell>
          <cell r="Z26">
            <v>72.7</v>
          </cell>
          <cell r="AA26">
            <v>75.900000000000006</v>
          </cell>
          <cell r="AB26">
            <v>79.099999999999994</v>
          </cell>
          <cell r="AC26">
            <v>82.3</v>
          </cell>
          <cell r="AD26">
            <v>38.299999999999997</v>
          </cell>
          <cell r="AE26">
            <v>43.4</v>
          </cell>
          <cell r="AF26">
            <v>41.1</v>
          </cell>
          <cell r="AG26">
            <v>48.6</v>
          </cell>
          <cell r="AH26">
            <v>58.7</v>
          </cell>
          <cell r="AI26">
            <v>55</v>
          </cell>
          <cell r="AJ26">
            <v>60.2</v>
          </cell>
          <cell r="AK26">
            <v>65.3</v>
          </cell>
          <cell r="AL26">
            <v>70.5</v>
          </cell>
          <cell r="AM26" t="str">
            <v>--</v>
          </cell>
          <cell r="AN26" t="str">
            <v>--</v>
          </cell>
          <cell r="AO26" t="str">
            <v>--</v>
          </cell>
          <cell r="AP26" t="str">
            <v>--</v>
          </cell>
          <cell r="AQ26" t="str">
            <v>--</v>
          </cell>
          <cell r="AR26" t="str">
            <v>--</v>
          </cell>
          <cell r="AS26" t="str">
            <v>--</v>
          </cell>
          <cell r="AT26" t="str">
            <v>--</v>
          </cell>
          <cell r="AU26" t="str">
            <v>--</v>
          </cell>
          <cell r="AV26" t="str">
            <v>--</v>
          </cell>
          <cell r="AW26" t="str">
            <v>--</v>
          </cell>
          <cell r="AX26" t="str">
            <v>--</v>
          </cell>
          <cell r="AY26" t="str">
            <v>--</v>
          </cell>
          <cell r="AZ26" t="str">
            <v>--</v>
          </cell>
          <cell r="BA26" t="str">
            <v>--</v>
          </cell>
          <cell r="BB26" t="str">
            <v>--</v>
          </cell>
          <cell r="BC26" t="str">
            <v>--</v>
          </cell>
          <cell r="BD26" t="str">
            <v>--</v>
          </cell>
          <cell r="BE26" t="str">
            <v>--</v>
          </cell>
          <cell r="BF26" t="str">
            <v>--</v>
          </cell>
          <cell r="BG26" t="str">
            <v>--</v>
          </cell>
          <cell r="BH26" t="str">
            <v>--</v>
          </cell>
          <cell r="BI26" t="str">
            <v>--</v>
          </cell>
          <cell r="BJ26" t="str">
            <v>--</v>
          </cell>
          <cell r="BK26" t="str">
            <v>--</v>
          </cell>
          <cell r="BL26" t="str">
            <v>--</v>
          </cell>
          <cell r="BM26" t="str">
            <v>--</v>
          </cell>
          <cell r="BN26">
            <v>52</v>
          </cell>
          <cell r="BO26">
            <v>51</v>
          </cell>
          <cell r="BP26">
            <v>42</v>
          </cell>
          <cell r="BQ26">
            <v>51</v>
          </cell>
          <cell r="BR26">
            <v>49</v>
          </cell>
          <cell r="BS26">
            <v>60</v>
          </cell>
          <cell r="BT26">
            <v>60</v>
          </cell>
          <cell r="BU26">
            <v>60</v>
          </cell>
          <cell r="BV26">
            <v>60</v>
          </cell>
          <cell r="BW26">
            <v>43</v>
          </cell>
          <cell r="BX26">
            <v>51</v>
          </cell>
          <cell r="BY26">
            <v>37</v>
          </cell>
          <cell r="BZ26">
            <v>47</v>
          </cell>
          <cell r="CA26">
            <v>41</v>
          </cell>
          <cell r="CB26">
            <v>55.5</v>
          </cell>
          <cell r="CC26">
            <v>60</v>
          </cell>
          <cell r="CD26">
            <v>60</v>
          </cell>
          <cell r="CE26">
            <v>60</v>
          </cell>
          <cell r="CF26">
            <v>20.5</v>
          </cell>
          <cell r="CG26">
            <v>18.5</v>
          </cell>
          <cell r="CH26">
            <v>28.2</v>
          </cell>
          <cell r="CI26">
            <v>25.4</v>
          </cell>
          <cell r="CJ26">
            <v>15.2</v>
          </cell>
          <cell r="CK26">
            <v>13.7</v>
          </cell>
          <cell r="CL26">
            <v>12.3</v>
          </cell>
          <cell r="CM26">
            <v>11.1</v>
          </cell>
          <cell r="CN26">
            <v>10</v>
          </cell>
          <cell r="CO26">
            <v>29.5</v>
          </cell>
          <cell r="CP26">
            <v>26.6</v>
          </cell>
          <cell r="CQ26">
            <v>42.2</v>
          </cell>
          <cell r="CR26">
            <v>38</v>
          </cell>
          <cell r="CS26">
            <v>26.6</v>
          </cell>
          <cell r="CT26">
            <v>23.9</v>
          </cell>
          <cell r="CU26">
            <v>21.5</v>
          </cell>
          <cell r="CV26">
            <v>19.399999999999999</v>
          </cell>
          <cell r="CW26">
            <v>17.5</v>
          </cell>
          <cell r="CX26">
            <v>57.1</v>
          </cell>
          <cell r="CY26">
            <v>51.4</v>
          </cell>
          <cell r="CZ26">
            <v>58.9</v>
          </cell>
          <cell r="DA26">
            <v>53</v>
          </cell>
          <cell r="DB26">
            <v>36.700000000000003</v>
          </cell>
          <cell r="DC26">
            <v>33</v>
          </cell>
          <cell r="DD26">
            <v>29.7</v>
          </cell>
          <cell r="DE26">
            <v>26.8</v>
          </cell>
          <cell r="DF26">
            <v>24.1</v>
          </cell>
          <cell r="DG26">
            <v>2.6</v>
          </cell>
          <cell r="DH26">
            <v>2.9</v>
          </cell>
          <cell r="DI26">
            <v>2.2000000000000002</v>
          </cell>
          <cell r="DJ26">
            <v>2.4</v>
          </cell>
          <cell r="DK26">
            <v>3.3</v>
          </cell>
          <cell r="DL26">
            <v>3.6</v>
          </cell>
          <cell r="DM26">
            <v>4</v>
          </cell>
          <cell r="DN26">
            <v>4.4000000000000004</v>
          </cell>
          <cell r="DO26">
            <v>4.8</v>
          </cell>
          <cell r="DP26">
            <v>5.8</v>
          </cell>
          <cell r="DQ26">
            <v>6.4</v>
          </cell>
          <cell r="DR26">
            <v>5</v>
          </cell>
          <cell r="DS26">
            <v>5.5</v>
          </cell>
          <cell r="DT26">
            <v>5.4</v>
          </cell>
          <cell r="DU26">
            <v>5.9</v>
          </cell>
          <cell r="DV26">
            <v>6.5</v>
          </cell>
          <cell r="DW26">
            <v>7.2</v>
          </cell>
          <cell r="DX26">
            <v>7.9</v>
          </cell>
          <cell r="DY26">
            <v>0</v>
          </cell>
          <cell r="DZ26">
            <v>1</v>
          </cell>
          <cell r="EA26">
            <v>0</v>
          </cell>
          <cell r="EB26">
            <v>1</v>
          </cell>
          <cell r="EC26">
            <v>0</v>
          </cell>
          <cell r="ED26">
            <v>1</v>
          </cell>
          <cell r="EE26">
            <v>1.1000000000000001</v>
          </cell>
          <cell r="EF26">
            <v>1.2</v>
          </cell>
          <cell r="EG26">
            <v>1.3</v>
          </cell>
        </row>
        <row r="27">
          <cell r="A27" t="str">
            <v>00350167Asian</v>
          </cell>
          <cell r="B27" t="str">
            <v>00350167A</v>
          </cell>
          <cell r="C27" t="str">
            <v>0035</v>
          </cell>
          <cell r="D27" t="str">
            <v>00350167</v>
          </cell>
          <cell r="E27" t="str">
            <v>Boston</v>
          </cell>
          <cell r="F27" t="str">
            <v>John P Holland</v>
          </cell>
          <cell r="G27" t="str">
            <v>ES</v>
          </cell>
          <cell r="H27" t="str">
            <v>Boston - John P Holland (00350167)</v>
          </cell>
          <cell r="I27" t="str">
            <v>Asian</v>
          </cell>
          <cell r="J27" t="str">
            <v>00350167Asian</v>
          </cell>
          <cell r="K27" t="str">
            <v>Level 4</v>
          </cell>
          <cell r="L27">
            <v>66.3</v>
          </cell>
          <cell r="M27">
            <v>69.099999999999994</v>
          </cell>
          <cell r="N27">
            <v>71.599999999999994</v>
          </cell>
          <cell r="O27">
            <v>71.900000000000006</v>
          </cell>
          <cell r="P27">
            <v>76.099999999999994</v>
          </cell>
          <cell r="Q27">
            <v>74.7</v>
          </cell>
          <cell r="R27">
            <v>77.5</v>
          </cell>
          <cell r="S27">
            <v>80.3</v>
          </cell>
          <cell r="T27">
            <v>83.2</v>
          </cell>
          <cell r="U27">
            <v>84.4</v>
          </cell>
          <cell r="V27">
            <v>85.7</v>
          </cell>
          <cell r="W27">
            <v>88.9</v>
          </cell>
          <cell r="X27">
            <v>87</v>
          </cell>
          <cell r="Y27">
            <v>94.6</v>
          </cell>
          <cell r="Z27">
            <v>88.3</v>
          </cell>
          <cell r="AA27">
            <v>89.6</v>
          </cell>
          <cell r="AB27">
            <v>90.9</v>
          </cell>
          <cell r="AC27">
            <v>92.2</v>
          </cell>
          <cell r="AD27">
            <v>47.6</v>
          </cell>
          <cell r="AE27" t="str">
            <v>--</v>
          </cell>
          <cell r="AF27">
            <v>47.6</v>
          </cell>
          <cell r="AG27">
            <v>52</v>
          </cell>
          <cell r="AH27">
            <v>61.7</v>
          </cell>
          <cell r="AI27">
            <v>56.3</v>
          </cell>
          <cell r="AJ27">
            <v>60.7</v>
          </cell>
          <cell r="AK27">
            <v>65.099999999999994</v>
          </cell>
          <cell r="AL27">
            <v>69.400000000000006</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t="str">
            <v>--</v>
          </cell>
          <cell r="BF27" t="str">
            <v>--</v>
          </cell>
          <cell r="BG27" t="str">
            <v>--</v>
          </cell>
          <cell r="BH27" t="str">
            <v>--</v>
          </cell>
          <cell r="BI27" t="str">
            <v>--</v>
          </cell>
          <cell r="BJ27" t="str">
            <v>--</v>
          </cell>
          <cell r="BK27" t="str">
            <v>--</v>
          </cell>
          <cell r="BL27" t="str">
            <v>--</v>
          </cell>
          <cell r="BM27" t="str">
            <v>--</v>
          </cell>
          <cell r="BN27">
            <v>56</v>
          </cell>
          <cell r="BO27">
            <v>51</v>
          </cell>
          <cell r="BP27">
            <v>73.5</v>
          </cell>
          <cell r="BQ27">
            <v>51</v>
          </cell>
          <cell r="BR27">
            <v>43</v>
          </cell>
          <cell r="BS27">
            <v>51</v>
          </cell>
          <cell r="BT27">
            <v>51</v>
          </cell>
          <cell r="BU27">
            <v>51</v>
          </cell>
          <cell r="BV27">
            <v>51</v>
          </cell>
          <cell r="BW27">
            <v>64</v>
          </cell>
          <cell r="BX27">
            <v>51</v>
          </cell>
          <cell r="BY27">
            <v>84</v>
          </cell>
          <cell r="BZ27">
            <v>51</v>
          </cell>
          <cell r="CA27">
            <v>48</v>
          </cell>
          <cell r="CB27">
            <v>51</v>
          </cell>
          <cell r="CC27">
            <v>51</v>
          </cell>
          <cell r="CD27">
            <v>51</v>
          </cell>
          <cell r="CE27">
            <v>51</v>
          </cell>
          <cell r="CF27">
            <v>23.1</v>
          </cell>
          <cell r="CG27">
            <v>20.8</v>
          </cell>
          <cell r="CH27">
            <v>13.5</v>
          </cell>
          <cell r="CI27">
            <v>12.2</v>
          </cell>
          <cell r="CJ27">
            <v>10.6</v>
          </cell>
          <cell r="CK27">
            <v>9.5</v>
          </cell>
          <cell r="CL27">
            <v>8.6</v>
          </cell>
          <cell r="CM27">
            <v>7.7</v>
          </cell>
          <cell r="CN27">
            <v>7</v>
          </cell>
          <cell r="CO27">
            <v>3.8</v>
          </cell>
          <cell r="CP27">
            <v>3.4</v>
          </cell>
          <cell r="CQ27">
            <v>5.8</v>
          </cell>
          <cell r="CR27">
            <v>5.2</v>
          </cell>
          <cell r="CS27">
            <v>2.2000000000000002</v>
          </cell>
          <cell r="CT27">
            <v>2</v>
          </cell>
          <cell r="CU27">
            <v>1.8</v>
          </cell>
          <cell r="CV27">
            <v>1.6</v>
          </cell>
          <cell r="CW27">
            <v>1.4</v>
          </cell>
          <cell r="CX27">
            <v>22.2</v>
          </cell>
          <cell r="CY27" t="str">
            <v>--</v>
          </cell>
          <cell r="CZ27">
            <v>42.9</v>
          </cell>
          <cell r="DA27">
            <v>38.6</v>
          </cell>
          <cell r="DB27">
            <v>26.7</v>
          </cell>
          <cell r="DC27">
            <v>38.6</v>
          </cell>
          <cell r="DD27">
            <v>34.700000000000003</v>
          </cell>
          <cell r="DE27">
            <v>31.3</v>
          </cell>
          <cell r="DF27">
            <v>28.1</v>
          </cell>
          <cell r="DG27">
            <v>1.9</v>
          </cell>
          <cell r="DH27">
            <v>2.1</v>
          </cell>
          <cell r="DI27">
            <v>3.8</v>
          </cell>
          <cell r="DJ27">
            <v>4.2</v>
          </cell>
          <cell r="DK27">
            <v>4.3</v>
          </cell>
          <cell r="DL27">
            <v>4.7</v>
          </cell>
          <cell r="DM27">
            <v>5.2</v>
          </cell>
          <cell r="DN27">
            <v>5.7</v>
          </cell>
          <cell r="DO27">
            <v>6.3</v>
          </cell>
          <cell r="DP27">
            <v>13.2</v>
          </cell>
          <cell r="DQ27">
            <v>14.5</v>
          </cell>
          <cell r="DR27">
            <v>36.5</v>
          </cell>
          <cell r="DS27">
            <v>40.200000000000003</v>
          </cell>
          <cell r="DT27">
            <v>45.7</v>
          </cell>
          <cell r="DU27">
            <v>50.3</v>
          </cell>
          <cell r="DV27">
            <v>55.3</v>
          </cell>
          <cell r="DW27">
            <v>60.8</v>
          </cell>
          <cell r="DX27">
            <v>66.900000000000006</v>
          </cell>
          <cell r="DY27">
            <v>0</v>
          </cell>
          <cell r="DZ27" t="str">
            <v>--</v>
          </cell>
          <cell r="EA27">
            <v>0</v>
          </cell>
          <cell r="EB27">
            <v>1</v>
          </cell>
          <cell r="EC27">
            <v>0</v>
          </cell>
          <cell r="ED27">
            <v>1</v>
          </cell>
          <cell r="EE27">
            <v>1.1000000000000001</v>
          </cell>
          <cell r="EF27">
            <v>1.2</v>
          </cell>
          <cell r="EG27">
            <v>1.3</v>
          </cell>
        </row>
        <row r="28">
          <cell r="A28" t="str">
            <v>00350167Afr. Amer/Black</v>
          </cell>
          <cell r="B28" t="str">
            <v>00350167B</v>
          </cell>
          <cell r="C28" t="str">
            <v>0035</v>
          </cell>
          <cell r="D28" t="str">
            <v>00350167</v>
          </cell>
          <cell r="E28" t="str">
            <v>Boston</v>
          </cell>
          <cell r="F28" t="str">
            <v>John P Holland</v>
          </cell>
          <cell r="G28" t="str">
            <v>ES</v>
          </cell>
          <cell r="H28" t="str">
            <v>Boston - John P Holland (00350167)</v>
          </cell>
          <cell r="I28" t="str">
            <v>Afr. Amer/Black</v>
          </cell>
          <cell r="J28" t="str">
            <v>00350167Afr. Amer/Black</v>
          </cell>
          <cell r="K28" t="str">
            <v>Level 4</v>
          </cell>
          <cell r="L28">
            <v>50</v>
          </cell>
          <cell r="M28">
            <v>54.2</v>
          </cell>
          <cell r="N28">
            <v>56.4</v>
          </cell>
          <cell r="O28">
            <v>58.3</v>
          </cell>
          <cell r="P28">
            <v>53.1</v>
          </cell>
          <cell r="Q28">
            <v>62.5</v>
          </cell>
          <cell r="R28">
            <v>66.7</v>
          </cell>
          <cell r="S28">
            <v>70.8</v>
          </cell>
          <cell r="T28">
            <v>75</v>
          </cell>
          <cell r="U28">
            <v>47.8</v>
          </cell>
          <cell r="V28">
            <v>52.2</v>
          </cell>
          <cell r="W28">
            <v>50</v>
          </cell>
          <cell r="X28">
            <v>56.5</v>
          </cell>
          <cell r="Y28">
            <v>54.7</v>
          </cell>
          <cell r="Z28">
            <v>60.9</v>
          </cell>
          <cell r="AA28">
            <v>65.2</v>
          </cell>
          <cell r="AB28">
            <v>69.599999999999994</v>
          </cell>
          <cell r="AC28">
            <v>73.900000000000006</v>
          </cell>
          <cell r="AD28">
            <v>42.4</v>
          </cell>
          <cell r="AE28">
            <v>47.2</v>
          </cell>
          <cell r="AF28">
            <v>43.2</v>
          </cell>
          <cell r="AG28">
            <v>52</v>
          </cell>
          <cell r="AH28">
            <v>31.5</v>
          </cell>
          <cell r="AI28">
            <v>56.8</v>
          </cell>
          <cell r="AJ28">
            <v>61.6</v>
          </cell>
          <cell r="AK28">
            <v>66.400000000000006</v>
          </cell>
          <cell r="AL28">
            <v>71.2</v>
          </cell>
          <cell r="AM28" t="str">
            <v>--</v>
          </cell>
          <cell r="AN28" t="str">
            <v>--</v>
          </cell>
          <cell r="AO28" t="str">
            <v>--</v>
          </cell>
          <cell r="AP28" t="str">
            <v>--</v>
          </cell>
          <cell r="AQ28" t="str">
            <v>--</v>
          </cell>
          <cell r="AR28" t="str">
            <v>--</v>
          </cell>
          <cell r="AS28" t="str">
            <v>--</v>
          </cell>
          <cell r="AT28" t="str">
            <v>--</v>
          </cell>
          <cell r="AU28" t="str">
            <v>--</v>
          </cell>
          <cell r="AV28" t="str">
            <v>--</v>
          </cell>
          <cell r="AW28" t="str">
            <v>--</v>
          </cell>
          <cell r="AX28" t="str">
            <v>--</v>
          </cell>
          <cell r="AY28" t="str">
            <v>--</v>
          </cell>
          <cell r="AZ28" t="str">
            <v>--</v>
          </cell>
          <cell r="BA28" t="str">
            <v>--</v>
          </cell>
          <cell r="BB28" t="str">
            <v>--</v>
          </cell>
          <cell r="BC28" t="str">
            <v>--</v>
          </cell>
          <cell r="BD28" t="str">
            <v>--</v>
          </cell>
          <cell r="BE28" t="str">
            <v>--</v>
          </cell>
          <cell r="BF28" t="str">
            <v>--</v>
          </cell>
          <cell r="BG28" t="str">
            <v>--</v>
          </cell>
          <cell r="BH28" t="str">
            <v>--</v>
          </cell>
          <cell r="BI28" t="str">
            <v>--</v>
          </cell>
          <cell r="BJ28" t="str">
            <v>--</v>
          </cell>
          <cell r="BK28" t="str">
            <v>--</v>
          </cell>
          <cell r="BL28" t="str">
            <v>--</v>
          </cell>
          <cell r="BM28" t="str">
            <v>--</v>
          </cell>
          <cell r="BN28">
            <v>33</v>
          </cell>
          <cell r="BO28">
            <v>43</v>
          </cell>
          <cell r="BP28">
            <v>45</v>
          </cell>
          <cell r="BQ28">
            <v>51</v>
          </cell>
          <cell r="BR28">
            <v>24</v>
          </cell>
          <cell r="BS28">
            <v>34</v>
          </cell>
          <cell r="BT28">
            <v>44</v>
          </cell>
          <cell r="BU28">
            <v>51</v>
          </cell>
          <cell r="BV28">
            <v>51</v>
          </cell>
          <cell r="BW28">
            <v>39</v>
          </cell>
          <cell r="BX28">
            <v>49</v>
          </cell>
          <cell r="BY28">
            <v>46</v>
          </cell>
          <cell r="BZ28">
            <v>51</v>
          </cell>
          <cell r="CA28">
            <v>43</v>
          </cell>
          <cell r="CB28">
            <v>51</v>
          </cell>
          <cell r="CC28">
            <v>51</v>
          </cell>
          <cell r="CD28">
            <v>51</v>
          </cell>
          <cell r="CE28">
            <v>51</v>
          </cell>
          <cell r="CF28">
            <v>39.200000000000003</v>
          </cell>
          <cell r="CG28">
            <v>35.299999999999997</v>
          </cell>
          <cell r="CH28">
            <v>37.9</v>
          </cell>
          <cell r="CI28">
            <v>34.1</v>
          </cell>
          <cell r="CJ28">
            <v>37.5</v>
          </cell>
          <cell r="CK28">
            <v>33.799999999999997</v>
          </cell>
          <cell r="CL28">
            <v>30.4</v>
          </cell>
          <cell r="CM28">
            <v>27.3</v>
          </cell>
          <cell r="CN28">
            <v>24.6</v>
          </cell>
          <cell r="CO28">
            <v>46</v>
          </cell>
          <cell r="CP28">
            <v>41.4</v>
          </cell>
          <cell r="CQ28">
            <v>47.3</v>
          </cell>
          <cell r="CR28">
            <v>42.6</v>
          </cell>
          <cell r="CS28">
            <v>35.200000000000003</v>
          </cell>
          <cell r="CT28">
            <v>31.7</v>
          </cell>
          <cell r="CU28">
            <v>28.5</v>
          </cell>
          <cell r="CV28">
            <v>25.7</v>
          </cell>
          <cell r="CW28">
            <v>23.1</v>
          </cell>
          <cell r="CX28">
            <v>57.6</v>
          </cell>
          <cell r="CY28">
            <v>51.8</v>
          </cell>
          <cell r="CZ28">
            <v>51.4</v>
          </cell>
          <cell r="DA28">
            <v>46.3</v>
          </cell>
          <cell r="DB28">
            <v>66.7</v>
          </cell>
          <cell r="DC28">
            <v>60</v>
          </cell>
          <cell r="DD28">
            <v>54</v>
          </cell>
          <cell r="DE28">
            <v>48.6</v>
          </cell>
          <cell r="DF28">
            <v>43.8</v>
          </cell>
          <cell r="DG28">
            <v>0</v>
          </cell>
          <cell r="DH28">
            <v>1</v>
          </cell>
          <cell r="DI28">
            <v>0.8</v>
          </cell>
          <cell r="DJ28">
            <v>0.9</v>
          </cell>
          <cell r="DK28">
            <v>1.6</v>
          </cell>
          <cell r="DL28">
            <v>1.8</v>
          </cell>
          <cell r="DM28">
            <v>1.9</v>
          </cell>
          <cell r="DN28">
            <v>2.1</v>
          </cell>
          <cell r="DO28">
            <v>2.2999999999999998</v>
          </cell>
          <cell r="DP28">
            <v>0</v>
          </cell>
          <cell r="DQ28">
            <v>1</v>
          </cell>
          <cell r="DR28">
            <v>3.1</v>
          </cell>
          <cell r="DS28">
            <v>3.4</v>
          </cell>
          <cell r="DT28">
            <v>2.2999999999999998</v>
          </cell>
          <cell r="DU28">
            <v>2.5</v>
          </cell>
          <cell r="DV28">
            <v>2.8</v>
          </cell>
          <cell r="DW28">
            <v>3.1</v>
          </cell>
          <cell r="DX28">
            <v>3.4</v>
          </cell>
          <cell r="DY28">
            <v>0</v>
          </cell>
          <cell r="DZ28">
            <v>1</v>
          </cell>
          <cell r="EA28">
            <v>0</v>
          </cell>
          <cell r="EB28">
            <v>1</v>
          </cell>
          <cell r="EC28">
            <v>0</v>
          </cell>
          <cell r="ED28">
            <v>1</v>
          </cell>
          <cell r="EE28">
            <v>1.1000000000000001</v>
          </cell>
          <cell r="EF28">
            <v>1.2</v>
          </cell>
          <cell r="EG28">
            <v>1.3</v>
          </cell>
        </row>
        <row r="29">
          <cell r="A29" t="str">
            <v>00350167White</v>
          </cell>
          <cell r="B29" t="str">
            <v>00350167C</v>
          </cell>
          <cell r="C29" t="str">
            <v>0035</v>
          </cell>
          <cell r="D29" t="str">
            <v>00350167</v>
          </cell>
          <cell r="E29" t="str">
            <v>Boston</v>
          </cell>
          <cell r="F29" t="str">
            <v>John P Holland</v>
          </cell>
          <cell r="G29" t="str">
            <v>ES</v>
          </cell>
          <cell r="H29" t="str">
            <v>Boston - John P Holland (00350167)</v>
          </cell>
          <cell r="I29" t="str">
            <v>White</v>
          </cell>
          <cell r="J29" t="str">
            <v>00350167White</v>
          </cell>
          <cell r="K29" t="str">
            <v>Level 4</v>
          </cell>
          <cell r="L29" t="str">
            <v>--</v>
          </cell>
          <cell r="M29" t="str">
            <v>--</v>
          </cell>
          <cell r="N29" t="str">
            <v>--</v>
          </cell>
          <cell r="O29" t="str">
            <v>--</v>
          </cell>
          <cell r="P29" t="str">
            <v>--</v>
          </cell>
          <cell r="Q29" t="str">
            <v>--</v>
          </cell>
          <cell r="R29" t="str">
            <v>--</v>
          </cell>
          <cell r="S29" t="str">
            <v>--</v>
          </cell>
          <cell r="T29" t="str">
            <v>--</v>
          </cell>
          <cell r="U29" t="str">
            <v>--</v>
          </cell>
          <cell r="V29" t="str">
            <v>--</v>
          </cell>
          <cell r="W29" t="str">
            <v>--</v>
          </cell>
          <cell r="X29" t="str">
            <v>--</v>
          </cell>
          <cell r="Y29" t="str">
            <v>--</v>
          </cell>
          <cell r="Z29" t="str">
            <v>--</v>
          </cell>
          <cell r="AA29" t="str">
            <v>--</v>
          </cell>
          <cell r="AB29" t="str">
            <v>--</v>
          </cell>
          <cell r="AC29" t="str">
            <v>--</v>
          </cell>
          <cell r="AD29" t="str">
            <v>--</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t="str">
            <v>--</v>
          </cell>
          <cell r="BG29" t="str">
            <v>--</v>
          </cell>
          <cell r="BH29" t="str">
            <v>--</v>
          </cell>
          <cell r="BI29" t="str">
            <v>--</v>
          </cell>
          <cell r="BJ29" t="str">
            <v>--</v>
          </cell>
          <cell r="BK29" t="str">
            <v>--</v>
          </cell>
          <cell r="BL29" t="str">
            <v>--</v>
          </cell>
          <cell r="BM29" t="str">
            <v>--</v>
          </cell>
          <cell r="BN29" t="str">
            <v>--</v>
          </cell>
          <cell r="BO29" t="str">
            <v>--</v>
          </cell>
          <cell r="BP29" t="str">
            <v>--</v>
          </cell>
          <cell r="BQ29" t="str">
            <v>--</v>
          </cell>
          <cell r="BR29" t="str">
            <v>--</v>
          </cell>
          <cell r="BS29" t="str">
            <v>--</v>
          </cell>
          <cell r="BT29" t="str">
            <v>--</v>
          </cell>
          <cell r="BU29" t="str">
            <v>--</v>
          </cell>
          <cell r="BV29" t="str">
            <v>--</v>
          </cell>
          <cell r="BW29" t="str">
            <v>--</v>
          </cell>
          <cell r="BX29" t="str">
            <v>--</v>
          </cell>
          <cell r="BY29" t="str">
            <v>--</v>
          </cell>
          <cell r="BZ29" t="str">
            <v>--</v>
          </cell>
          <cell r="CA29" t="str">
            <v>--</v>
          </cell>
          <cell r="CB29" t="str">
            <v>--</v>
          </cell>
          <cell r="CC29" t="str">
            <v>--</v>
          </cell>
          <cell r="CD29" t="str">
            <v>--</v>
          </cell>
          <cell r="CE29" t="str">
            <v>--</v>
          </cell>
          <cell r="CF29" t="str">
            <v>--</v>
          </cell>
          <cell r="CG29" t="str">
            <v>--</v>
          </cell>
          <cell r="CH29" t="str">
            <v>--</v>
          </cell>
          <cell r="CI29" t="str">
            <v>--</v>
          </cell>
          <cell r="CJ29" t="str">
            <v>--</v>
          </cell>
          <cell r="CK29" t="str">
            <v>--</v>
          </cell>
          <cell r="CL29" t="str">
            <v>--</v>
          </cell>
          <cell r="CM29" t="str">
            <v>--</v>
          </cell>
          <cell r="CN29" t="str">
            <v>--</v>
          </cell>
          <cell r="CO29" t="str">
            <v>--</v>
          </cell>
          <cell r="CP29" t="str">
            <v>--</v>
          </cell>
          <cell r="CQ29" t="str">
            <v>--</v>
          </cell>
          <cell r="CR29" t="str">
            <v>--</v>
          </cell>
          <cell r="CS29" t="str">
            <v>--</v>
          </cell>
          <cell r="CT29" t="str">
            <v>--</v>
          </cell>
          <cell r="CU29" t="str">
            <v>--</v>
          </cell>
          <cell r="CV29" t="str">
            <v>--</v>
          </cell>
          <cell r="CW29" t="str">
            <v>--</v>
          </cell>
          <cell r="CX29" t="str">
            <v>--</v>
          </cell>
          <cell r="CY29" t="str">
            <v>--</v>
          </cell>
          <cell r="CZ29" t="str">
            <v>--</v>
          </cell>
          <cell r="DA29" t="str">
            <v>--</v>
          </cell>
          <cell r="DB29" t="str">
            <v>--</v>
          </cell>
          <cell r="DC29" t="str">
            <v>--</v>
          </cell>
          <cell r="DD29" t="str">
            <v>--</v>
          </cell>
          <cell r="DE29" t="str">
            <v>--</v>
          </cell>
          <cell r="DF29" t="str">
            <v>--</v>
          </cell>
          <cell r="DG29" t="str">
            <v>--</v>
          </cell>
          <cell r="DH29" t="str">
            <v>--</v>
          </cell>
          <cell r="DI29" t="str">
            <v>--</v>
          </cell>
          <cell r="DJ29" t="str">
            <v>--</v>
          </cell>
          <cell r="DK29" t="str">
            <v>--</v>
          </cell>
          <cell r="DL29" t="str">
            <v>--</v>
          </cell>
          <cell r="DM29" t="str">
            <v>--</v>
          </cell>
          <cell r="DN29" t="str">
            <v>--</v>
          </cell>
          <cell r="DO29" t="str">
            <v>--</v>
          </cell>
          <cell r="DP29" t="str">
            <v>--</v>
          </cell>
          <cell r="DQ29" t="str">
            <v>--</v>
          </cell>
          <cell r="DR29" t="str">
            <v>--</v>
          </cell>
          <cell r="DS29" t="str">
            <v>--</v>
          </cell>
          <cell r="DT29" t="str">
            <v>--</v>
          </cell>
          <cell r="DU29" t="str">
            <v>--</v>
          </cell>
          <cell r="DV29" t="str">
            <v>--</v>
          </cell>
          <cell r="DW29" t="str">
            <v>--</v>
          </cell>
          <cell r="DX29" t="str">
            <v>--</v>
          </cell>
          <cell r="DY29" t="str">
            <v>--</v>
          </cell>
          <cell r="DZ29" t="str">
            <v>--</v>
          </cell>
          <cell r="EA29" t="str">
            <v>--</v>
          </cell>
          <cell r="EB29" t="str">
            <v>--</v>
          </cell>
          <cell r="EC29" t="str">
            <v>--</v>
          </cell>
          <cell r="ED29" t="str">
            <v>--</v>
          </cell>
          <cell r="EE29" t="str">
            <v>--</v>
          </cell>
          <cell r="EF29" t="str">
            <v>--</v>
          </cell>
          <cell r="EG29" t="str">
            <v>--</v>
          </cell>
        </row>
        <row r="30">
          <cell r="A30" t="str">
            <v>00350167Students w/disabilities</v>
          </cell>
          <cell r="B30" t="str">
            <v>00350167D</v>
          </cell>
          <cell r="C30" t="str">
            <v>0035</v>
          </cell>
          <cell r="D30" t="str">
            <v>00350167</v>
          </cell>
          <cell r="E30" t="str">
            <v>Boston</v>
          </cell>
          <cell r="F30" t="str">
            <v>John P Holland</v>
          </cell>
          <cell r="G30" t="str">
            <v>ES</v>
          </cell>
          <cell r="H30" t="str">
            <v>Boston - John P Holland (00350167)</v>
          </cell>
          <cell r="I30" t="str">
            <v>Students w/disabilities</v>
          </cell>
          <cell r="J30" t="str">
            <v>00350167Students w/disabilities</v>
          </cell>
          <cell r="K30" t="str">
            <v>Level 4</v>
          </cell>
          <cell r="L30">
            <v>47.8</v>
          </cell>
          <cell r="M30">
            <v>52.2</v>
          </cell>
          <cell r="N30">
            <v>54.6</v>
          </cell>
          <cell r="O30">
            <v>56.5</v>
          </cell>
          <cell r="P30">
            <v>44.9</v>
          </cell>
          <cell r="Q30">
            <v>60.9</v>
          </cell>
          <cell r="R30">
            <v>65.2</v>
          </cell>
          <cell r="S30">
            <v>69.599999999999994</v>
          </cell>
          <cell r="T30">
            <v>73.900000000000006</v>
          </cell>
          <cell r="U30">
            <v>49.2</v>
          </cell>
          <cell r="V30">
            <v>53.4</v>
          </cell>
          <cell r="W30">
            <v>52.2</v>
          </cell>
          <cell r="X30">
            <v>57.7</v>
          </cell>
          <cell r="Y30">
            <v>50.7</v>
          </cell>
          <cell r="Z30">
            <v>61.9</v>
          </cell>
          <cell r="AA30">
            <v>66.099999999999994</v>
          </cell>
          <cell r="AB30">
            <v>70.400000000000006</v>
          </cell>
          <cell r="AC30">
            <v>74.599999999999994</v>
          </cell>
          <cell r="AD30">
            <v>44.8</v>
          </cell>
          <cell r="AE30">
            <v>49.4</v>
          </cell>
          <cell r="AF30">
            <v>48.1</v>
          </cell>
          <cell r="AG30">
            <v>54</v>
          </cell>
          <cell r="AH30">
            <v>38.9</v>
          </cell>
          <cell r="AI30">
            <v>58.6</v>
          </cell>
          <cell r="AJ30">
            <v>63.2</v>
          </cell>
          <cell r="AK30">
            <v>67.8</v>
          </cell>
          <cell r="AL30">
            <v>72.400000000000006</v>
          </cell>
          <cell r="AM30" t="str">
            <v>--</v>
          </cell>
          <cell r="AN30" t="str">
            <v>--</v>
          </cell>
          <cell r="AO30" t="str">
            <v>--</v>
          </cell>
          <cell r="AP30" t="str">
            <v>--</v>
          </cell>
          <cell r="AQ30" t="str">
            <v>--</v>
          </cell>
          <cell r="AR30" t="str">
            <v>--</v>
          </cell>
          <cell r="AS30" t="str">
            <v>--</v>
          </cell>
          <cell r="AT30" t="str">
            <v>--</v>
          </cell>
          <cell r="AU30" t="str">
            <v>--</v>
          </cell>
          <cell r="AV30" t="str">
            <v>--</v>
          </cell>
          <cell r="AW30" t="str">
            <v>--</v>
          </cell>
          <cell r="AX30" t="str">
            <v>--</v>
          </cell>
          <cell r="AY30" t="str">
            <v>--</v>
          </cell>
          <cell r="AZ30" t="str">
            <v>--</v>
          </cell>
          <cell r="BA30" t="str">
            <v>--</v>
          </cell>
          <cell r="BB30" t="str">
            <v>--</v>
          </cell>
          <cell r="BC30" t="str">
            <v>--</v>
          </cell>
          <cell r="BD30" t="str">
            <v>--</v>
          </cell>
          <cell r="BE30" t="str">
            <v>--</v>
          </cell>
          <cell r="BF30" t="str">
            <v>--</v>
          </cell>
          <cell r="BG30" t="str">
            <v>--</v>
          </cell>
          <cell r="BH30" t="str">
            <v>--</v>
          </cell>
          <cell r="BI30" t="str">
            <v>--</v>
          </cell>
          <cell r="BJ30" t="str">
            <v>--</v>
          </cell>
          <cell r="BK30" t="str">
            <v>--</v>
          </cell>
          <cell r="BL30" t="str">
            <v>--</v>
          </cell>
          <cell r="BM30" t="str">
            <v>--</v>
          </cell>
          <cell r="BN30">
            <v>27</v>
          </cell>
          <cell r="BO30">
            <v>37</v>
          </cell>
          <cell r="BP30">
            <v>37</v>
          </cell>
          <cell r="BQ30">
            <v>47</v>
          </cell>
          <cell r="BR30">
            <v>25</v>
          </cell>
          <cell r="BS30">
            <v>35</v>
          </cell>
          <cell r="BT30">
            <v>45</v>
          </cell>
          <cell r="BU30">
            <v>51</v>
          </cell>
          <cell r="BV30">
            <v>51</v>
          </cell>
          <cell r="BW30">
            <v>36</v>
          </cell>
          <cell r="BX30">
            <v>46</v>
          </cell>
          <cell r="BY30">
            <v>71</v>
          </cell>
          <cell r="BZ30">
            <v>51</v>
          </cell>
          <cell r="CA30">
            <v>42</v>
          </cell>
          <cell r="CB30">
            <v>51</v>
          </cell>
          <cell r="CC30">
            <v>51</v>
          </cell>
          <cell r="CD30">
            <v>51</v>
          </cell>
          <cell r="CE30">
            <v>51</v>
          </cell>
          <cell r="CF30">
            <v>51.1</v>
          </cell>
          <cell r="CG30">
            <v>46</v>
          </cell>
          <cell r="CH30">
            <v>48.1</v>
          </cell>
          <cell r="CI30">
            <v>43.3</v>
          </cell>
          <cell r="CJ30">
            <v>60.3</v>
          </cell>
          <cell r="CK30">
            <v>54.3</v>
          </cell>
          <cell r="CL30">
            <v>48.8</v>
          </cell>
          <cell r="CM30">
            <v>44</v>
          </cell>
          <cell r="CN30">
            <v>39.6</v>
          </cell>
          <cell r="CO30">
            <v>49.5</v>
          </cell>
          <cell r="CP30">
            <v>44.6</v>
          </cell>
          <cell r="CQ30">
            <v>48.8</v>
          </cell>
          <cell r="CR30">
            <v>43.9</v>
          </cell>
          <cell r="CS30">
            <v>52.9</v>
          </cell>
          <cell r="CT30">
            <v>47.6</v>
          </cell>
          <cell r="CU30">
            <v>42.8</v>
          </cell>
          <cell r="CV30">
            <v>38.6</v>
          </cell>
          <cell r="CW30">
            <v>34.700000000000003</v>
          </cell>
          <cell r="CX30">
            <v>58.3</v>
          </cell>
          <cell r="CY30">
            <v>52.5</v>
          </cell>
          <cell r="CZ30">
            <v>59.3</v>
          </cell>
          <cell r="DA30">
            <v>53.4</v>
          </cell>
          <cell r="DB30">
            <v>72.2</v>
          </cell>
          <cell r="DC30">
            <v>53.4</v>
          </cell>
          <cell r="DD30">
            <v>48</v>
          </cell>
          <cell r="DE30">
            <v>43.2</v>
          </cell>
          <cell r="DF30">
            <v>38.9</v>
          </cell>
          <cell r="DG30">
            <v>0</v>
          </cell>
          <cell r="DH30">
            <v>1</v>
          </cell>
          <cell r="DI30">
            <v>0</v>
          </cell>
          <cell r="DJ30">
            <v>1</v>
          </cell>
          <cell r="DK30">
            <v>0</v>
          </cell>
          <cell r="DL30">
            <v>1</v>
          </cell>
          <cell r="DM30">
            <v>1.1000000000000001</v>
          </cell>
          <cell r="DN30">
            <v>1.2</v>
          </cell>
          <cell r="DO30">
            <v>1.3</v>
          </cell>
          <cell r="DP30">
            <v>0</v>
          </cell>
          <cell r="DQ30">
            <v>1</v>
          </cell>
          <cell r="DR30">
            <v>0</v>
          </cell>
          <cell r="DS30">
            <v>1</v>
          </cell>
          <cell r="DT30">
            <v>1.5</v>
          </cell>
          <cell r="DU30">
            <v>1.7</v>
          </cell>
          <cell r="DV30">
            <v>1.8</v>
          </cell>
          <cell r="DW30">
            <v>2</v>
          </cell>
          <cell r="DX30">
            <v>2.2000000000000002</v>
          </cell>
          <cell r="DY30">
            <v>0</v>
          </cell>
          <cell r="DZ30">
            <v>1</v>
          </cell>
          <cell r="EA30">
            <v>0</v>
          </cell>
          <cell r="EB30">
            <v>1</v>
          </cell>
          <cell r="EC30">
            <v>0</v>
          </cell>
          <cell r="ED30">
            <v>1</v>
          </cell>
          <cell r="EE30">
            <v>1.1000000000000001</v>
          </cell>
          <cell r="EF30">
            <v>1.2</v>
          </cell>
          <cell r="EG30">
            <v>1.3</v>
          </cell>
        </row>
        <row r="31">
          <cell r="A31" t="str">
            <v>00350167Low income</v>
          </cell>
          <cell r="B31" t="str">
            <v>00350167F</v>
          </cell>
          <cell r="C31" t="str">
            <v>0035</v>
          </cell>
          <cell r="D31" t="str">
            <v>00350167</v>
          </cell>
          <cell r="E31" t="str">
            <v>Boston</v>
          </cell>
          <cell r="F31" t="str">
            <v>John P Holland</v>
          </cell>
          <cell r="G31" t="str">
            <v>ES</v>
          </cell>
          <cell r="H31" t="str">
            <v>Boston - John P Holland (00350167)</v>
          </cell>
          <cell r="I31" t="str">
            <v>Low income</v>
          </cell>
          <cell r="J31" t="str">
            <v>00350167Low income</v>
          </cell>
          <cell r="K31" t="str">
            <v>Level 4</v>
          </cell>
          <cell r="L31">
            <v>55.1</v>
          </cell>
          <cell r="M31">
            <v>58.8</v>
          </cell>
          <cell r="N31">
            <v>56.7</v>
          </cell>
          <cell r="O31">
            <v>62.6</v>
          </cell>
          <cell r="P31">
            <v>54.3</v>
          </cell>
          <cell r="Q31">
            <v>66.3</v>
          </cell>
          <cell r="R31">
            <v>70.099999999999994</v>
          </cell>
          <cell r="S31">
            <v>73.8</v>
          </cell>
          <cell r="T31">
            <v>77.599999999999994</v>
          </cell>
          <cell r="U31">
            <v>60</v>
          </cell>
          <cell r="V31">
            <v>63.3</v>
          </cell>
          <cell r="W31">
            <v>58.3</v>
          </cell>
          <cell r="X31">
            <v>66.7</v>
          </cell>
          <cell r="Y31">
            <v>60.4</v>
          </cell>
          <cell r="Z31">
            <v>70</v>
          </cell>
          <cell r="AA31">
            <v>73.3</v>
          </cell>
          <cell r="AB31">
            <v>76.7</v>
          </cell>
          <cell r="AC31">
            <v>80</v>
          </cell>
          <cell r="AD31">
            <v>43</v>
          </cell>
          <cell r="AE31">
            <v>47.8</v>
          </cell>
          <cell r="AF31">
            <v>44.2</v>
          </cell>
          <cell r="AG31">
            <v>52.5</v>
          </cell>
          <cell r="AH31">
            <v>40.1</v>
          </cell>
          <cell r="AI31">
            <v>57.3</v>
          </cell>
          <cell r="AJ31">
            <v>62</v>
          </cell>
          <cell r="AK31">
            <v>66.8</v>
          </cell>
          <cell r="AL31">
            <v>71.5</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v>34.5</v>
          </cell>
          <cell r="BO31">
            <v>44.5</v>
          </cell>
          <cell r="BP31">
            <v>48</v>
          </cell>
          <cell r="BQ31">
            <v>51</v>
          </cell>
          <cell r="BR31">
            <v>33</v>
          </cell>
          <cell r="BS31">
            <v>43</v>
          </cell>
          <cell r="BT31">
            <v>51</v>
          </cell>
          <cell r="BU31">
            <v>51</v>
          </cell>
          <cell r="BV31">
            <v>51</v>
          </cell>
          <cell r="BW31">
            <v>49</v>
          </cell>
          <cell r="BX31">
            <v>51</v>
          </cell>
          <cell r="BY31">
            <v>60</v>
          </cell>
          <cell r="BZ31">
            <v>51</v>
          </cell>
          <cell r="CA31">
            <v>48</v>
          </cell>
          <cell r="CB31">
            <v>51</v>
          </cell>
          <cell r="CC31">
            <v>51</v>
          </cell>
          <cell r="CD31">
            <v>51</v>
          </cell>
          <cell r="CE31">
            <v>51</v>
          </cell>
          <cell r="CF31">
            <v>32.4</v>
          </cell>
          <cell r="CG31">
            <v>29.2</v>
          </cell>
          <cell r="CH31">
            <v>36.5</v>
          </cell>
          <cell r="CI31">
            <v>32.9</v>
          </cell>
          <cell r="CJ31">
            <v>38.200000000000003</v>
          </cell>
          <cell r="CK31">
            <v>34.4</v>
          </cell>
          <cell r="CL31">
            <v>30.9</v>
          </cell>
          <cell r="CM31">
            <v>27.8</v>
          </cell>
          <cell r="CN31">
            <v>25.1</v>
          </cell>
          <cell r="CO31">
            <v>29</v>
          </cell>
          <cell r="CP31">
            <v>26.1</v>
          </cell>
          <cell r="CQ31">
            <v>37.799999999999997</v>
          </cell>
          <cell r="CR31">
            <v>34</v>
          </cell>
          <cell r="CS31">
            <v>32.299999999999997</v>
          </cell>
          <cell r="CT31">
            <v>29.1</v>
          </cell>
          <cell r="CU31">
            <v>26.2</v>
          </cell>
          <cell r="CV31">
            <v>23.5</v>
          </cell>
          <cell r="CW31">
            <v>21.2</v>
          </cell>
          <cell r="CX31">
            <v>56.1</v>
          </cell>
          <cell r="CY31">
            <v>50.5</v>
          </cell>
          <cell r="CZ31">
            <v>53.8</v>
          </cell>
          <cell r="DA31">
            <v>48.4</v>
          </cell>
          <cell r="DB31">
            <v>59.2</v>
          </cell>
          <cell r="DC31">
            <v>53.3</v>
          </cell>
          <cell r="DD31">
            <v>48</v>
          </cell>
          <cell r="DE31">
            <v>43.2</v>
          </cell>
          <cell r="DF31">
            <v>38.799999999999997</v>
          </cell>
          <cell r="DG31">
            <v>0.4</v>
          </cell>
          <cell r="DH31">
            <v>0.4</v>
          </cell>
          <cell r="DI31">
            <v>1.3</v>
          </cell>
          <cell r="DJ31">
            <v>1.4</v>
          </cell>
          <cell r="DK31">
            <v>1.5</v>
          </cell>
          <cell r="DL31">
            <v>1.7</v>
          </cell>
          <cell r="DM31">
            <v>1.8</v>
          </cell>
          <cell r="DN31">
            <v>2</v>
          </cell>
          <cell r="DO31">
            <v>2.2000000000000002</v>
          </cell>
          <cell r="DP31">
            <v>3.2</v>
          </cell>
          <cell r="DQ31">
            <v>3.5</v>
          </cell>
          <cell r="DR31">
            <v>8</v>
          </cell>
          <cell r="DS31">
            <v>8.8000000000000007</v>
          </cell>
          <cell r="DT31">
            <v>10</v>
          </cell>
          <cell r="DU31">
            <v>11</v>
          </cell>
          <cell r="DV31">
            <v>12.1</v>
          </cell>
          <cell r="DW31">
            <v>13.3</v>
          </cell>
          <cell r="DX31">
            <v>14.6</v>
          </cell>
          <cell r="DY31">
            <v>0</v>
          </cell>
          <cell r="DZ31">
            <v>1</v>
          </cell>
          <cell r="EA31">
            <v>0</v>
          </cell>
          <cell r="EB31">
            <v>1</v>
          </cell>
          <cell r="EC31">
            <v>0</v>
          </cell>
          <cell r="ED31">
            <v>1</v>
          </cell>
          <cell r="EE31">
            <v>1.1000000000000001</v>
          </cell>
          <cell r="EF31">
            <v>1.2</v>
          </cell>
          <cell r="EG31">
            <v>1.3</v>
          </cell>
        </row>
        <row r="32">
          <cell r="A32" t="str">
            <v>00350167Hispanic/Latino</v>
          </cell>
          <cell r="B32" t="str">
            <v>00350167H</v>
          </cell>
          <cell r="C32" t="str">
            <v>0035</v>
          </cell>
          <cell r="D32" t="str">
            <v>00350167</v>
          </cell>
          <cell r="E32" t="str">
            <v>Boston</v>
          </cell>
          <cell r="F32" t="str">
            <v>John P Holland</v>
          </cell>
          <cell r="G32" t="str">
            <v>ES</v>
          </cell>
          <cell r="H32" t="str">
            <v>Boston - John P Holland (00350167)</v>
          </cell>
          <cell r="I32" t="str">
            <v>Hispanic/Latino</v>
          </cell>
          <cell r="J32" t="str">
            <v>00350167Hispanic/Latino</v>
          </cell>
          <cell r="K32" t="str">
            <v>Level 4</v>
          </cell>
          <cell r="L32">
            <v>55.6</v>
          </cell>
          <cell r="M32">
            <v>59.3</v>
          </cell>
          <cell r="N32">
            <v>53.3</v>
          </cell>
          <cell r="O32">
            <v>63</v>
          </cell>
          <cell r="P32">
            <v>46.9</v>
          </cell>
          <cell r="Q32">
            <v>66.7</v>
          </cell>
          <cell r="R32">
            <v>70.400000000000006</v>
          </cell>
          <cell r="S32">
            <v>74.099999999999994</v>
          </cell>
          <cell r="T32">
            <v>77.8</v>
          </cell>
          <cell r="U32">
            <v>61.3</v>
          </cell>
          <cell r="V32">
            <v>64.5</v>
          </cell>
          <cell r="W32">
            <v>57.3</v>
          </cell>
          <cell r="X32">
            <v>67.8</v>
          </cell>
          <cell r="Y32">
            <v>53.7</v>
          </cell>
          <cell r="Z32">
            <v>71</v>
          </cell>
          <cell r="AA32">
            <v>74.2</v>
          </cell>
          <cell r="AB32">
            <v>77.400000000000006</v>
          </cell>
          <cell r="AC32">
            <v>80.7</v>
          </cell>
          <cell r="AD32">
            <v>34.799999999999997</v>
          </cell>
          <cell r="AE32">
            <v>40.200000000000003</v>
          </cell>
          <cell r="AF32">
            <v>42.9</v>
          </cell>
          <cell r="AG32">
            <v>45.7</v>
          </cell>
          <cell r="AH32">
            <v>35.9</v>
          </cell>
          <cell r="AI32">
            <v>51.1</v>
          </cell>
          <cell r="AJ32">
            <v>56.5</v>
          </cell>
          <cell r="AK32">
            <v>62</v>
          </cell>
          <cell r="AL32">
            <v>67.400000000000006</v>
          </cell>
          <cell r="AM32" t="str">
            <v>--</v>
          </cell>
          <cell r="AN32" t="str">
            <v>--</v>
          </cell>
          <cell r="AO32" t="str">
            <v>--</v>
          </cell>
          <cell r="AP32" t="str">
            <v>--</v>
          </cell>
          <cell r="AQ32" t="str">
            <v>--</v>
          </cell>
          <cell r="AR32" t="str">
            <v>--</v>
          </cell>
          <cell r="AS32" t="str">
            <v>--</v>
          </cell>
          <cell r="AT32" t="str">
            <v>--</v>
          </cell>
          <cell r="AU32" t="str">
            <v>--</v>
          </cell>
          <cell r="AV32" t="str">
            <v>--</v>
          </cell>
          <cell r="AW32" t="str">
            <v>--</v>
          </cell>
          <cell r="AX32" t="str">
            <v>--</v>
          </cell>
          <cell r="AY32" t="str">
            <v>--</v>
          </cell>
          <cell r="AZ32" t="str">
            <v>--</v>
          </cell>
          <cell r="BA32" t="str">
            <v>--</v>
          </cell>
          <cell r="BB32" t="str">
            <v>--</v>
          </cell>
          <cell r="BC32" t="str">
            <v>--</v>
          </cell>
          <cell r="BD32" t="str">
            <v>--</v>
          </cell>
          <cell r="BE32" t="str">
            <v>--</v>
          </cell>
          <cell r="BF32" t="str">
            <v>--</v>
          </cell>
          <cell r="BG32" t="str">
            <v>--</v>
          </cell>
          <cell r="BH32" t="str">
            <v>--</v>
          </cell>
          <cell r="BI32" t="str">
            <v>--</v>
          </cell>
          <cell r="BJ32" t="str">
            <v>--</v>
          </cell>
          <cell r="BK32" t="str">
            <v>--</v>
          </cell>
          <cell r="BL32" t="str">
            <v>--</v>
          </cell>
          <cell r="BM32" t="str">
            <v>--</v>
          </cell>
          <cell r="BN32">
            <v>32.5</v>
          </cell>
          <cell r="BO32">
            <v>42.5</v>
          </cell>
          <cell r="BP32">
            <v>38</v>
          </cell>
          <cell r="BQ32">
            <v>48</v>
          </cell>
          <cell r="BR32">
            <v>42</v>
          </cell>
          <cell r="BS32">
            <v>51</v>
          </cell>
          <cell r="BT32">
            <v>51</v>
          </cell>
          <cell r="BU32">
            <v>51</v>
          </cell>
          <cell r="BV32">
            <v>51</v>
          </cell>
          <cell r="BW32">
            <v>49</v>
          </cell>
          <cell r="BX32">
            <v>51</v>
          </cell>
          <cell r="BY32">
            <v>61.5</v>
          </cell>
          <cell r="BZ32">
            <v>51</v>
          </cell>
          <cell r="CA32">
            <v>50.5</v>
          </cell>
          <cell r="CB32">
            <v>51</v>
          </cell>
          <cell r="CC32">
            <v>51</v>
          </cell>
          <cell r="CD32">
            <v>51</v>
          </cell>
          <cell r="CE32">
            <v>51</v>
          </cell>
          <cell r="CF32">
            <v>28.6</v>
          </cell>
          <cell r="CG32">
            <v>25.7</v>
          </cell>
          <cell r="CH32">
            <v>40.200000000000003</v>
          </cell>
          <cell r="CI32">
            <v>36.200000000000003</v>
          </cell>
          <cell r="CJ32">
            <v>46.7</v>
          </cell>
          <cell r="CK32">
            <v>42</v>
          </cell>
          <cell r="CL32">
            <v>37.799999999999997</v>
          </cell>
          <cell r="CM32">
            <v>34</v>
          </cell>
          <cell r="CN32">
            <v>30.6</v>
          </cell>
          <cell r="CO32">
            <v>22.6</v>
          </cell>
          <cell r="CP32">
            <v>20.3</v>
          </cell>
          <cell r="CQ32">
            <v>35.5</v>
          </cell>
          <cell r="CR32">
            <v>32</v>
          </cell>
          <cell r="CS32">
            <v>36.4</v>
          </cell>
          <cell r="CT32">
            <v>32.799999999999997</v>
          </cell>
          <cell r="CU32">
            <v>29.5</v>
          </cell>
          <cell r="CV32">
            <v>26.5</v>
          </cell>
          <cell r="CW32">
            <v>23.9</v>
          </cell>
          <cell r="CX32">
            <v>69.7</v>
          </cell>
          <cell r="CY32">
            <v>62.7</v>
          </cell>
          <cell r="CZ32">
            <v>62.9</v>
          </cell>
          <cell r="DA32">
            <v>56.6</v>
          </cell>
          <cell r="DB32">
            <v>68.8</v>
          </cell>
          <cell r="DC32">
            <v>61.9</v>
          </cell>
          <cell r="DD32">
            <v>55.7</v>
          </cell>
          <cell r="DE32">
            <v>50.2</v>
          </cell>
          <cell r="DF32">
            <v>45.1</v>
          </cell>
          <cell r="DG32">
            <v>0</v>
          </cell>
          <cell r="DH32">
            <v>1</v>
          </cell>
          <cell r="DI32">
            <v>0</v>
          </cell>
          <cell r="DJ32">
            <v>1</v>
          </cell>
          <cell r="DK32">
            <v>0</v>
          </cell>
          <cell r="DL32">
            <v>1</v>
          </cell>
          <cell r="DM32">
            <v>1.1000000000000001</v>
          </cell>
          <cell r="DN32">
            <v>1.2</v>
          </cell>
          <cell r="DO32">
            <v>1.3</v>
          </cell>
          <cell r="DP32">
            <v>1.7</v>
          </cell>
          <cell r="DQ32">
            <v>1.9</v>
          </cell>
          <cell r="DR32">
            <v>3.6</v>
          </cell>
          <cell r="DS32">
            <v>4</v>
          </cell>
          <cell r="DT32">
            <v>2.8</v>
          </cell>
          <cell r="DU32">
            <v>3.1</v>
          </cell>
          <cell r="DV32">
            <v>3.4</v>
          </cell>
          <cell r="DW32">
            <v>3.7</v>
          </cell>
          <cell r="DX32">
            <v>4.0999999999999996</v>
          </cell>
          <cell r="DY32">
            <v>0</v>
          </cell>
          <cell r="DZ32">
            <v>1</v>
          </cell>
          <cell r="EA32">
            <v>0</v>
          </cell>
          <cell r="EB32">
            <v>1</v>
          </cell>
          <cell r="EC32">
            <v>0</v>
          </cell>
          <cell r="ED32">
            <v>1</v>
          </cell>
          <cell r="EE32">
            <v>1.1000000000000001</v>
          </cell>
          <cell r="EF32">
            <v>1.2</v>
          </cell>
          <cell r="EG32">
            <v>1.3</v>
          </cell>
        </row>
        <row r="33">
          <cell r="A33" t="str">
            <v>00350167ELL and Former ELL</v>
          </cell>
          <cell r="B33" t="str">
            <v>00350167L</v>
          </cell>
          <cell r="C33" t="str">
            <v>0035</v>
          </cell>
          <cell r="D33" t="str">
            <v>00350167</v>
          </cell>
          <cell r="E33" t="str">
            <v>Boston</v>
          </cell>
          <cell r="F33" t="str">
            <v>John P Holland</v>
          </cell>
          <cell r="G33" t="str">
            <v>ES</v>
          </cell>
          <cell r="H33" t="str">
            <v>Boston - John P Holland (00350167)</v>
          </cell>
          <cell r="I33" t="str">
            <v>ELL and Former ELL</v>
          </cell>
          <cell r="J33" t="str">
            <v>00350167ELL and Former ELL</v>
          </cell>
          <cell r="K33" t="str">
            <v>Level 4</v>
          </cell>
          <cell r="L33">
            <v>56</v>
          </cell>
          <cell r="M33">
            <v>59.7</v>
          </cell>
          <cell r="N33">
            <v>56.8</v>
          </cell>
          <cell r="O33">
            <v>63.3</v>
          </cell>
          <cell r="P33">
            <v>54.3</v>
          </cell>
          <cell r="Q33">
            <v>67</v>
          </cell>
          <cell r="R33">
            <v>70.7</v>
          </cell>
          <cell r="S33">
            <v>74.3</v>
          </cell>
          <cell r="T33">
            <v>78</v>
          </cell>
          <cell r="U33">
            <v>66.2</v>
          </cell>
          <cell r="V33">
            <v>69</v>
          </cell>
          <cell r="W33">
            <v>66.5</v>
          </cell>
          <cell r="X33">
            <v>71.8</v>
          </cell>
          <cell r="Y33">
            <v>65.7</v>
          </cell>
          <cell r="Z33">
            <v>74.7</v>
          </cell>
          <cell r="AA33">
            <v>77.5</v>
          </cell>
          <cell r="AB33">
            <v>80.3</v>
          </cell>
          <cell r="AC33">
            <v>83.1</v>
          </cell>
          <cell r="AD33">
            <v>44</v>
          </cell>
          <cell r="AE33">
            <v>48.7</v>
          </cell>
          <cell r="AF33">
            <v>39.4</v>
          </cell>
          <cell r="AG33">
            <v>53.3</v>
          </cell>
          <cell r="AH33">
            <v>44</v>
          </cell>
          <cell r="AI33">
            <v>58</v>
          </cell>
          <cell r="AJ33">
            <v>62.7</v>
          </cell>
          <cell r="AK33">
            <v>67.3</v>
          </cell>
          <cell r="AL33">
            <v>72</v>
          </cell>
          <cell r="AM33" t="str">
            <v>--</v>
          </cell>
          <cell r="AN33" t="str">
            <v>--</v>
          </cell>
          <cell r="AO33" t="str">
            <v>--</v>
          </cell>
          <cell r="AP33" t="str">
            <v>--</v>
          </cell>
          <cell r="AQ33" t="str">
            <v>--</v>
          </cell>
          <cell r="AR33" t="str">
            <v>--</v>
          </cell>
          <cell r="AS33" t="str">
            <v>--</v>
          </cell>
          <cell r="AT33" t="str">
            <v>--</v>
          </cell>
          <cell r="AU33" t="str">
            <v>--</v>
          </cell>
          <cell r="AV33" t="str">
            <v>--</v>
          </cell>
          <cell r="AW33" t="str">
            <v>--</v>
          </cell>
          <cell r="AX33" t="str">
            <v>--</v>
          </cell>
          <cell r="AY33" t="str">
            <v>--</v>
          </cell>
          <cell r="AZ33" t="str">
            <v>--</v>
          </cell>
          <cell r="BA33" t="str">
            <v>--</v>
          </cell>
          <cell r="BB33" t="str">
            <v>--</v>
          </cell>
          <cell r="BC33" t="str">
            <v>--</v>
          </cell>
          <cell r="BD33" t="str">
            <v>--</v>
          </cell>
          <cell r="BE33" t="str">
            <v>--</v>
          </cell>
          <cell r="BF33" t="str">
            <v>--</v>
          </cell>
          <cell r="BG33" t="str">
            <v>--</v>
          </cell>
          <cell r="BH33" t="str">
            <v>--</v>
          </cell>
          <cell r="BI33" t="str">
            <v>--</v>
          </cell>
          <cell r="BJ33" t="str">
            <v>--</v>
          </cell>
          <cell r="BK33" t="str">
            <v>--</v>
          </cell>
          <cell r="BL33" t="str">
            <v>--</v>
          </cell>
          <cell r="BM33" t="str">
            <v>--</v>
          </cell>
          <cell r="BN33">
            <v>38</v>
          </cell>
          <cell r="BO33">
            <v>48</v>
          </cell>
          <cell r="BP33">
            <v>49</v>
          </cell>
          <cell r="BQ33">
            <v>51</v>
          </cell>
          <cell r="BR33">
            <v>44</v>
          </cell>
          <cell r="BS33">
            <v>51</v>
          </cell>
          <cell r="BT33">
            <v>51</v>
          </cell>
          <cell r="BU33">
            <v>51</v>
          </cell>
          <cell r="BV33">
            <v>51</v>
          </cell>
          <cell r="BW33">
            <v>49.5</v>
          </cell>
          <cell r="BX33">
            <v>51</v>
          </cell>
          <cell r="BY33">
            <v>70</v>
          </cell>
          <cell r="BZ33">
            <v>51</v>
          </cell>
          <cell r="CA33">
            <v>56</v>
          </cell>
          <cell r="CB33">
            <v>51</v>
          </cell>
          <cell r="CC33">
            <v>51</v>
          </cell>
          <cell r="CD33">
            <v>51</v>
          </cell>
          <cell r="CE33">
            <v>51</v>
          </cell>
          <cell r="CF33">
            <v>30.5</v>
          </cell>
          <cell r="CG33">
            <v>27.5</v>
          </cell>
          <cell r="CH33">
            <v>35.4</v>
          </cell>
          <cell r="CI33">
            <v>31.9</v>
          </cell>
          <cell r="CJ33">
            <v>38.799999999999997</v>
          </cell>
          <cell r="CK33">
            <v>34.9</v>
          </cell>
          <cell r="CL33">
            <v>31.4</v>
          </cell>
          <cell r="CM33">
            <v>28.3</v>
          </cell>
          <cell r="CN33">
            <v>25.5</v>
          </cell>
          <cell r="CO33">
            <v>20.2</v>
          </cell>
          <cell r="CP33">
            <v>18.2</v>
          </cell>
          <cell r="CQ33">
            <v>27.7</v>
          </cell>
          <cell r="CR33">
            <v>24.9</v>
          </cell>
          <cell r="CS33">
            <v>27</v>
          </cell>
          <cell r="CT33">
            <v>24.3</v>
          </cell>
          <cell r="CU33">
            <v>21.9</v>
          </cell>
          <cell r="CV33">
            <v>19.7</v>
          </cell>
          <cell r="CW33">
            <v>17.7</v>
          </cell>
          <cell r="CX33">
            <v>52</v>
          </cell>
          <cell r="CY33">
            <v>46.8</v>
          </cell>
          <cell r="CZ33">
            <v>63.5</v>
          </cell>
          <cell r="DA33">
            <v>57.2</v>
          </cell>
          <cell r="DB33">
            <v>54.3</v>
          </cell>
          <cell r="DC33">
            <v>48.9</v>
          </cell>
          <cell r="DD33">
            <v>44</v>
          </cell>
          <cell r="DE33">
            <v>39.6</v>
          </cell>
          <cell r="DF33">
            <v>35.6</v>
          </cell>
          <cell r="DG33">
            <v>0.6</v>
          </cell>
          <cell r="DH33">
            <v>0.7</v>
          </cell>
          <cell r="DI33">
            <v>1.2</v>
          </cell>
          <cell r="DJ33">
            <v>1.3</v>
          </cell>
          <cell r="DK33">
            <v>1.4</v>
          </cell>
          <cell r="DL33">
            <v>1.5</v>
          </cell>
          <cell r="DM33">
            <v>1.7</v>
          </cell>
          <cell r="DN33">
            <v>1.9</v>
          </cell>
          <cell r="DO33">
            <v>2</v>
          </cell>
          <cell r="DP33">
            <v>5.4</v>
          </cell>
          <cell r="DQ33">
            <v>5.9</v>
          </cell>
          <cell r="DR33">
            <v>10.7</v>
          </cell>
          <cell r="DS33">
            <v>11.8</v>
          </cell>
          <cell r="DT33">
            <v>14.9</v>
          </cell>
          <cell r="DU33">
            <v>16.399999999999999</v>
          </cell>
          <cell r="DV33">
            <v>18</v>
          </cell>
          <cell r="DW33">
            <v>19.8</v>
          </cell>
          <cell r="DX33">
            <v>21.8</v>
          </cell>
          <cell r="DY33">
            <v>0</v>
          </cell>
          <cell r="DZ33">
            <v>1</v>
          </cell>
          <cell r="EA33">
            <v>0</v>
          </cell>
          <cell r="EB33">
            <v>1</v>
          </cell>
          <cell r="EC33">
            <v>0</v>
          </cell>
          <cell r="ED33">
            <v>1</v>
          </cell>
          <cell r="EE33">
            <v>1.1000000000000001</v>
          </cell>
          <cell r="EF33">
            <v>1.2</v>
          </cell>
          <cell r="EG33">
            <v>1.3</v>
          </cell>
        </row>
        <row r="34">
          <cell r="A34" t="str">
            <v>00350167Multi-race, Non-Hisp./Lat.</v>
          </cell>
          <cell r="B34" t="str">
            <v>00350167M</v>
          </cell>
          <cell r="C34" t="str">
            <v>0035</v>
          </cell>
          <cell r="D34" t="str">
            <v>00350167</v>
          </cell>
          <cell r="E34" t="str">
            <v>Boston</v>
          </cell>
          <cell r="F34" t="str">
            <v>John P Holland</v>
          </cell>
          <cell r="G34" t="str">
            <v>ES</v>
          </cell>
          <cell r="H34" t="str">
            <v>Boston - John P Holland (00350167)</v>
          </cell>
          <cell r="I34" t="str">
            <v>Multi-race, Non-Hisp./Lat.</v>
          </cell>
          <cell r="J34" t="str">
            <v>00350167Multi-race, Non-Hisp./Lat.</v>
          </cell>
          <cell r="K34" t="str">
            <v>Level 4</v>
          </cell>
          <cell r="L34" t="str">
            <v>--</v>
          </cell>
          <cell r="M34" t="str">
            <v>--</v>
          </cell>
          <cell r="N34" t="str">
            <v>--</v>
          </cell>
          <cell r="O34" t="str">
            <v>--</v>
          </cell>
          <cell r="P34" t="str">
            <v>--</v>
          </cell>
          <cell r="Q34" t="str">
            <v>--</v>
          </cell>
          <cell r="R34" t="str">
            <v>--</v>
          </cell>
          <cell r="S34" t="str">
            <v>--</v>
          </cell>
          <cell r="T34" t="str">
            <v>--</v>
          </cell>
          <cell r="U34" t="str">
            <v>--</v>
          </cell>
          <cell r="V34" t="str">
            <v>--</v>
          </cell>
          <cell r="W34" t="str">
            <v>--</v>
          </cell>
          <cell r="X34" t="str">
            <v>--</v>
          </cell>
          <cell r="Y34" t="str">
            <v>--</v>
          </cell>
          <cell r="Z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t="str">
            <v>--</v>
          </cell>
          <cell r="BT34" t="str">
            <v>--</v>
          </cell>
          <cell r="BU34" t="str">
            <v>--</v>
          </cell>
          <cell r="BV34" t="str">
            <v>--</v>
          </cell>
          <cell r="BW34" t="str">
            <v>--</v>
          </cell>
          <cell r="BX34" t="str">
            <v>--</v>
          </cell>
          <cell r="BY34" t="str">
            <v>--</v>
          </cell>
          <cell r="BZ34" t="str">
            <v>--</v>
          </cell>
          <cell r="CA34" t="str">
            <v>--</v>
          </cell>
          <cell r="CB34" t="str">
            <v>--</v>
          </cell>
          <cell r="CC34" t="str">
            <v>--</v>
          </cell>
          <cell r="CD34" t="str">
            <v>--</v>
          </cell>
          <cell r="CE34" t="str">
            <v>--</v>
          </cell>
          <cell r="CF34" t="str">
            <v>--</v>
          </cell>
          <cell r="CG34" t="str">
            <v>--</v>
          </cell>
          <cell r="CH34" t="str">
            <v>--</v>
          </cell>
          <cell r="CI34" t="str">
            <v>--</v>
          </cell>
          <cell r="CJ34" t="str">
            <v>--</v>
          </cell>
          <cell r="CK34" t="str">
            <v>--</v>
          </cell>
          <cell r="CL34" t="str">
            <v>--</v>
          </cell>
          <cell r="CM34" t="str">
            <v>--</v>
          </cell>
          <cell r="CN34" t="str">
            <v>--</v>
          </cell>
          <cell r="CO34" t="str">
            <v>--</v>
          </cell>
          <cell r="CP34" t="str">
            <v>--</v>
          </cell>
          <cell r="CQ34" t="str">
            <v>--</v>
          </cell>
          <cell r="CR34" t="str">
            <v>--</v>
          </cell>
          <cell r="CS34" t="str">
            <v>--</v>
          </cell>
          <cell r="CT34" t="str">
            <v>--</v>
          </cell>
          <cell r="CU34" t="str">
            <v>--</v>
          </cell>
          <cell r="CV34" t="str">
            <v>--</v>
          </cell>
          <cell r="CW34" t="str">
            <v>--</v>
          </cell>
          <cell r="CX34" t="str">
            <v>--</v>
          </cell>
          <cell r="CY34" t="str">
            <v>--</v>
          </cell>
          <cell r="CZ34" t="str">
            <v>--</v>
          </cell>
          <cell r="DA34" t="str">
            <v>--</v>
          </cell>
          <cell r="DB34" t="str">
            <v>--</v>
          </cell>
          <cell r="DC34" t="str">
            <v>--</v>
          </cell>
          <cell r="DD34" t="str">
            <v>--</v>
          </cell>
          <cell r="DE34" t="str">
            <v>--</v>
          </cell>
          <cell r="DF34" t="str">
            <v>--</v>
          </cell>
          <cell r="DG34" t="str">
            <v>--</v>
          </cell>
          <cell r="DH34" t="str">
            <v>--</v>
          </cell>
          <cell r="DI34" t="str">
            <v>--</v>
          </cell>
          <cell r="DJ34" t="str">
            <v>--</v>
          </cell>
          <cell r="DK34" t="str">
            <v>--</v>
          </cell>
          <cell r="DL34" t="str">
            <v>--</v>
          </cell>
          <cell r="DM34" t="str">
            <v>--</v>
          </cell>
          <cell r="DN34" t="str">
            <v>--</v>
          </cell>
          <cell r="DO34" t="str">
            <v>--</v>
          </cell>
          <cell r="DP34" t="str">
            <v>--</v>
          </cell>
          <cell r="DQ34" t="str">
            <v>--</v>
          </cell>
          <cell r="DR34" t="str">
            <v>--</v>
          </cell>
          <cell r="DS34" t="str">
            <v>--</v>
          </cell>
          <cell r="DT34" t="str">
            <v>--</v>
          </cell>
          <cell r="DU34" t="str">
            <v>--</v>
          </cell>
          <cell r="DV34" t="str">
            <v>--</v>
          </cell>
          <cell r="DW34" t="str">
            <v>--</v>
          </cell>
          <cell r="DX34" t="str">
            <v>--</v>
          </cell>
          <cell r="DY34" t="str">
            <v>--</v>
          </cell>
          <cell r="DZ34" t="str">
            <v>--</v>
          </cell>
          <cell r="EA34" t="str">
            <v>--</v>
          </cell>
          <cell r="EB34" t="str">
            <v>--</v>
          </cell>
          <cell r="EC34" t="str">
            <v>--</v>
          </cell>
          <cell r="ED34" t="str">
            <v>--</v>
          </cell>
          <cell r="EE34" t="str">
            <v>--</v>
          </cell>
          <cell r="EF34" t="str">
            <v>--</v>
          </cell>
          <cell r="EG34" t="str">
            <v>--</v>
          </cell>
        </row>
        <row r="35">
          <cell r="A35" t="str">
            <v>00350167Amer. Ind. or Alaska Nat.</v>
          </cell>
          <cell r="B35" t="str">
            <v>00350167N</v>
          </cell>
          <cell r="C35" t="str">
            <v>0035</v>
          </cell>
          <cell r="D35" t="str">
            <v>00350167</v>
          </cell>
          <cell r="E35" t="str">
            <v>Boston</v>
          </cell>
          <cell r="F35" t="str">
            <v>John P Holland</v>
          </cell>
          <cell r="G35" t="str">
            <v>ES</v>
          </cell>
          <cell r="H35" t="str">
            <v>Boston - John P Holland (00350167)</v>
          </cell>
          <cell r="I35" t="str">
            <v>Amer. Ind. or Alaska Nat.</v>
          </cell>
          <cell r="J35" t="str">
            <v>00350167Amer. Ind. or Alaska Nat.</v>
          </cell>
          <cell r="K35" t="str">
            <v>Level 4</v>
          </cell>
          <cell r="L35" t="str">
            <v>--</v>
          </cell>
          <cell r="M35" t="str">
            <v>--</v>
          </cell>
          <cell r="N35" t="str">
            <v>--</v>
          </cell>
          <cell r="O35" t="str">
            <v>--</v>
          </cell>
          <cell r="P35" t="str">
            <v>--</v>
          </cell>
          <cell r="Q35" t="str">
            <v>--</v>
          </cell>
          <cell r="R35" t="str">
            <v>--</v>
          </cell>
          <cell r="S35" t="str">
            <v>--</v>
          </cell>
          <cell r="T35" t="str">
            <v>--</v>
          </cell>
          <cell r="U35" t="str">
            <v>--</v>
          </cell>
          <cell r="V35" t="str">
            <v>--</v>
          </cell>
          <cell r="W35" t="str">
            <v>--</v>
          </cell>
          <cell r="X35" t="str">
            <v>--</v>
          </cell>
          <cell r="Y35" t="str">
            <v>--</v>
          </cell>
          <cell r="Z35" t="str">
            <v>--</v>
          </cell>
          <cell r="AA35" t="str">
            <v>--</v>
          </cell>
          <cell r="AB35" t="str">
            <v>--</v>
          </cell>
          <cell r="AC35" t="str">
            <v>--</v>
          </cell>
          <cell r="AD35" t="str">
            <v>--</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t="str">
            <v>--</v>
          </cell>
          <cell r="BT35" t="str">
            <v>--</v>
          </cell>
          <cell r="BU35" t="str">
            <v>--</v>
          </cell>
          <cell r="BV35" t="str">
            <v>--</v>
          </cell>
          <cell r="BW35" t="str">
            <v>--</v>
          </cell>
          <cell r="BX35" t="str">
            <v>--</v>
          </cell>
          <cell r="BY35" t="str">
            <v>--</v>
          </cell>
          <cell r="BZ35" t="str">
            <v>--</v>
          </cell>
          <cell r="CA35" t="str">
            <v>--</v>
          </cell>
          <cell r="CB35" t="str">
            <v>--</v>
          </cell>
          <cell r="CC35" t="str">
            <v>--</v>
          </cell>
          <cell r="CD35" t="str">
            <v>--</v>
          </cell>
          <cell r="CE35" t="str">
            <v>--</v>
          </cell>
          <cell r="CF35" t="str">
            <v>--</v>
          </cell>
          <cell r="CG35" t="str">
            <v>--</v>
          </cell>
          <cell r="CH35" t="str">
            <v>--</v>
          </cell>
          <cell r="CI35" t="str">
            <v>--</v>
          </cell>
          <cell r="CJ35" t="str">
            <v>--</v>
          </cell>
          <cell r="CK35" t="str">
            <v>--</v>
          </cell>
          <cell r="CL35" t="str">
            <v>--</v>
          </cell>
          <cell r="CM35" t="str">
            <v>--</v>
          </cell>
          <cell r="CN35" t="str">
            <v>--</v>
          </cell>
          <cell r="CO35" t="str">
            <v>--</v>
          </cell>
          <cell r="CP35" t="str">
            <v>--</v>
          </cell>
          <cell r="CQ35" t="str">
            <v>--</v>
          </cell>
          <cell r="CR35" t="str">
            <v>--</v>
          </cell>
          <cell r="CS35" t="str">
            <v>--</v>
          </cell>
          <cell r="CT35" t="str">
            <v>--</v>
          </cell>
          <cell r="CU35" t="str">
            <v>--</v>
          </cell>
          <cell r="CV35" t="str">
            <v>--</v>
          </cell>
          <cell r="CW35" t="str">
            <v>--</v>
          </cell>
          <cell r="CX35" t="str">
            <v>--</v>
          </cell>
          <cell r="CY35" t="str">
            <v>--</v>
          </cell>
          <cell r="CZ35" t="str">
            <v>--</v>
          </cell>
          <cell r="DA35" t="str">
            <v>--</v>
          </cell>
          <cell r="DB35" t="str">
            <v>--</v>
          </cell>
          <cell r="DC35" t="str">
            <v>--</v>
          </cell>
          <cell r="DD35" t="str">
            <v>--</v>
          </cell>
          <cell r="DE35" t="str">
            <v>--</v>
          </cell>
          <cell r="DF35" t="str">
            <v>--</v>
          </cell>
          <cell r="DG35" t="str">
            <v>--</v>
          </cell>
          <cell r="DH35" t="str">
            <v>--</v>
          </cell>
          <cell r="DI35" t="str">
            <v>--</v>
          </cell>
          <cell r="DJ35" t="str">
            <v>--</v>
          </cell>
          <cell r="DK35" t="str">
            <v>--</v>
          </cell>
          <cell r="DL35" t="str">
            <v>--</v>
          </cell>
          <cell r="DM35" t="str">
            <v>--</v>
          </cell>
          <cell r="DN35" t="str">
            <v>--</v>
          </cell>
          <cell r="DO35" t="str">
            <v>--</v>
          </cell>
          <cell r="DP35" t="str">
            <v>--</v>
          </cell>
          <cell r="DQ35" t="str">
            <v>--</v>
          </cell>
          <cell r="DR35" t="str">
            <v>--</v>
          </cell>
          <cell r="DS35" t="str">
            <v>--</v>
          </cell>
          <cell r="DT35" t="str">
            <v>--</v>
          </cell>
          <cell r="DU35" t="str">
            <v>--</v>
          </cell>
          <cell r="DV35" t="str">
            <v>--</v>
          </cell>
          <cell r="DW35" t="str">
            <v>--</v>
          </cell>
          <cell r="DX35" t="str">
            <v>--</v>
          </cell>
          <cell r="DY35" t="str">
            <v>--</v>
          </cell>
          <cell r="DZ35" t="str">
            <v>--</v>
          </cell>
          <cell r="EA35" t="str">
            <v>--</v>
          </cell>
          <cell r="EB35" t="str">
            <v>--</v>
          </cell>
          <cell r="EC35" t="str">
            <v>--</v>
          </cell>
          <cell r="ED35" t="str">
            <v>--</v>
          </cell>
          <cell r="EE35" t="str">
            <v>--</v>
          </cell>
          <cell r="EF35" t="str">
            <v>--</v>
          </cell>
          <cell r="EG35" t="str">
            <v>--</v>
          </cell>
        </row>
        <row r="36">
          <cell r="A36" t="str">
            <v>00350167Nat. Haw. or Pacif. Isl.</v>
          </cell>
          <cell r="B36" t="str">
            <v>00350167P</v>
          </cell>
          <cell r="C36" t="str">
            <v>0035</v>
          </cell>
          <cell r="D36" t="str">
            <v>00350167</v>
          </cell>
          <cell r="E36" t="str">
            <v>Boston</v>
          </cell>
          <cell r="F36" t="str">
            <v>John P Holland</v>
          </cell>
          <cell r="G36" t="str">
            <v>ES</v>
          </cell>
          <cell r="H36" t="str">
            <v>Boston - John P Holland (00350167)</v>
          </cell>
          <cell r="I36" t="str">
            <v>Nat. Haw. or Pacif. Isl.</v>
          </cell>
          <cell r="J36" t="str">
            <v>00350167Nat. Haw. or Pacif. Isl.</v>
          </cell>
          <cell r="K36" t="str">
            <v>Level 4</v>
          </cell>
          <cell r="L36" t="str">
            <v>--</v>
          </cell>
          <cell r="M36" t="str">
            <v>--</v>
          </cell>
          <cell r="N36" t="str">
            <v>--</v>
          </cell>
          <cell r="O36" t="str">
            <v>--</v>
          </cell>
          <cell r="P36" t="str">
            <v>--</v>
          </cell>
          <cell r="Q36" t="str">
            <v>--</v>
          </cell>
          <cell r="R36" t="str">
            <v>--</v>
          </cell>
          <cell r="S36" t="str">
            <v>--</v>
          </cell>
          <cell r="T36" t="str">
            <v>--</v>
          </cell>
          <cell r="U36" t="str">
            <v>--</v>
          </cell>
          <cell r="V36" t="str">
            <v>--</v>
          </cell>
          <cell r="W36" t="str">
            <v>--</v>
          </cell>
          <cell r="X36" t="str">
            <v>--</v>
          </cell>
          <cell r="Y36" t="str">
            <v>--</v>
          </cell>
          <cell r="Z36" t="str">
            <v>--</v>
          </cell>
          <cell r="AA36" t="str">
            <v>--</v>
          </cell>
          <cell r="AB36" t="str">
            <v>--</v>
          </cell>
          <cell r="AC36" t="str">
            <v>--</v>
          </cell>
          <cell r="AD36" t="str">
            <v>--</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t="str">
            <v>--</v>
          </cell>
          <cell r="AQ36" t="str">
            <v>--</v>
          </cell>
          <cell r="AR36" t="str">
            <v>--</v>
          </cell>
          <cell r="AS36" t="str">
            <v>--</v>
          </cell>
          <cell r="AT36" t="str">
            <v>--</v>
          </cell>
          <cell r="AU36" t="str">
            <v>--</v>
          </cell>
          <cell r="AV36" t="str">
            <v>--</v>
          </cell>
          <cell r="AW36" t="str">
            <v>--</v>
          </cell>
          <cell r="AX36" t="str">
            <v>--</v>
          </cell>
          <cell r="AY36" t="str">
            <v>--</v>
          </cell>
          <cell r="AZ36" t="str">
            <v>--</v>
          </cell>
          <cell r="BA36" t="str">
            <v>--</v>
          </cell>
          <cell r="BB36" t="str">
            <v>--</v>
          </cell>
          <cell r="BC36" t="str">
            <v>--</v>
          </cell>
          <cell r="BD36" t="str">
            <v>--</v>
          </cell>
          <cell r="BE36" t="str">
            <v>--</v>
          </cell>
          <cell r="BF36" t="str">
            <v>--</v>
          </cell>
          <cell r="BG36" t="str">
            <v>--</v>
          </cell>
          <cell r="BH36" t="str">
            <v>--</v>
          </cell>
          <cell r="BI36" t="str">
            <v>--</v>
          </cell>
          <cell r="BJ36" t="str">
            <v>--</v>
          </cell>
          <cell r="BK36" t="str">
            <v>--</v>
          </cell>
          <cell r="BL36" t="str">
            <v>--</v>
          </cell>
          <cell r="BM36" t="str">
            <v>--</v>
          </cell>
          <cell r="BN36" t="str">
            <v>--</v>
          </cell>
          <cell r="BO36" t="str">
            <v>--</v>
          </cell>
          <cell r="BP36" t="str">
            <v>--</v>
          </cell>
          <cell r="BQ36" t="str">
            <v>--</v>
          </cell>
          <cell r="BR36" t="str">
            <v>--</v>
          </cell>
          <cell r="BS36" t="str">
            <v>--</v>
          </cell>
          <cell r="BT36" t="str">
            <v>--</v>
          </cell>
          <cell r="BU36" t="str">
            <v>--</v>
          </cell>
          <cell r="BV36" t="str">
            <v>--</v>
          </cell>
          <cell r="BW36" t="str">
            <v>--</v>
          </cell>
          <cell r="BX36" t="str">
            <v>--</v>
          </cell>
          <cell r="BY36" t="str">
            <v>--</v>
          </cell>
          <cell r="BZ36" t="str">
            <v>--</v>
          </cell>
          <cell r="CA36" t="str">
            <v>--</v>
          </cell>
          <cell r="CB36" t="str">
            <v>--</v>
          </cell>
          <cell r="CC36" t="str">
            <v>--</v>
          </cell>
          <cell r="CD36" t="str">
            <v>--</v>
          </cell>
          <cell r="CE36" t="str">
            <v>--</v>
          </cell>
          <cell r="CF36" t="str">
            <v>--</v>
          </cell>
          <cell r="CG36" t="str">
            <v>--</v>
          </cell>
          <cell r="CH36" t="str">
            <v>--</v>
          </cell>
          <cell r="CI36" t="str">
            <v>--</v>
          </cell>
          <cell r="CJ36" t="str">
            <v>--</v>
          </cell>
          <cell r="CK36" t="str">
            <v>--</v>
          </cell>
          <cell r="CL36" t="str">
            <v>--</v>
          </cell>
          <cell r="CM36" t="str">
            <v>--</v>
          </cell>
          <cell r="CN36" t="str">
            <v>--</v>
          </cell>
          <cell r="CO36" t="str">
            <v>--</v>
          </cell>
          <cell r="CP36" t="str">
            <v>--</v>
          </cell>
          <cell r="CQ36" t="str">
            <v>--</v>
          </cell>
          <cell r="CR36" t="str">
            <v>--</v>
          </cell>
          <cell r="CS36" t="str">
            <v>--</v>
          </cell>
          <cell r="CT36" t="str">
            <v>--</v>
          </cell>
          <cell r="CU36" t="str">
            <v>--</v>
          </cell>
          <cell r="CV36" t="str">
            <v>--</v>
          </cell>
          <cell r="CW36" t="str">
            <v>--</v>
          </cell>
          <cell r="CX36" t="str">
            <v>--</v>
          </cell>
          <cell r="CY36" t="str">
            <v>--</v>
          </cell>
          <cell r="CZ36" t="str">
            <v>--</v>
          </cell>
          <cell r="DA36" t="str">
            <v>--</v>
          </cell>
          <cell r="DB36" t="str">
            <v>--</v>
          </cell>
          <cell r="DC36" t="str">
            <v>--</v>
          </cell>
          <cell r="DD36" t="str">
            <v>--</v>
          </cell>
          <cell r="DE36" t="str">
            <v>--</v>
          </cell>
          <cell r="DF36" t="str">
            <v>--</v>
          </cell>
          <cell r="DG36" t="str">
            <v>--</v>
          </cell>
          <cell r="DH36" t="str">
            <v>--</v>
          </cell>
          <cell r="DI36" t="str">
            <v>--</v>
          </cell>
          <cell r="DJ36" t="str">
            <v>--</v>
          </cell>
          <cell r="DK36" t="str">
            <v>--</v>
          </cell>
          <cell r="DL36" t="str">
            <v>--</v>
          </cell>
          <cell r="DM36" t="str">
            <v>--</v>
          </cell>
          <cell r="DN36" t="str">
            <v>--</v>
          </cell>
          <cell r="DO36" t="str">
            <v>--</v>
          </cell>
          <cell r="DP36" t="str">
            <v>--</v>
          </cell>
          <cell r="DQ36" t="str">
            <v>--</v>
          </cell>
          <cell r="DR36" t="str">
            <v>--</v>
          </cell>
          <cell r="DS36" t="str">
            <v>--</v>
          </cell>
          <cell r="DT36" t="str">
            <v>--</v>
          </cell>
          <cell r="DU36" t="str">
            <v>--</v>
          </cell>
          <cell r="DV36" t="str">
            <v>--</v>
          </cell>
          <cell r="DW36" t="str">
            <v>--</v>
          </cell>
          <cell r="DX36" t="str">
            <v>--</v>
          </cell>
          <cell r="DY36" t="str">
            <v>--</v>
          </cell>
          <cell r="DZ36" t="str">
            <v>--</v>
          </cell>
          <cell r="EA36" t="str">
            <v>--</v>
          </cell>
          <cell r="EB36" t="str">
            <v>--</v>
          </cell>
          <cell r="EC36" t="str">
            <v>--</v>
          </cell>
          <cell r="ED36" t="str">
            <v>--</v>
          </cell>
          <cell r="EE36" t="str">
            <v>--</v>
          </cell>
          <cell r="EF36" t="str">
            <v>--</v>
          </cell>
          <cell r="EG36" t="str">
            <v>--</v>
          </cell>
        </row>
        <row r="37">
          <cell r="A37" t="str">
            <v>00350167High needs</v>
          </cell>
          <cell r="B37" t="str">
            <v>00350167S</v>
          </cell>
          <cell r="C37" t="str">
            <v>0035</v>
          </cell>
          <cell r="D37" t="str">
            <v>00350167</v>
          </cell>
          <cell r="E37" t="str">
            <v>Boston</v>
          </cell>
          <cell r="F37" t="str">
            <v>John P Holland</v>
          </cell>
          <cell r="G37" t="str">
            <v>ES</v>
          </cell>
          <cell r="H37" t="str">
            <v>Boston - John P Holland (00350167)</v>
          </cell>
          <cell r="I37" t="str">
            <v>High needs</v>
          </cell>
          <cell r="J37" t="str">
            <v>00350167High needs</v>
          </cell>
          <cell r="K37" t="str">
            <v>Level 4</v>
          </cell>
          <cell r="L37">
            <v>55.3</v>
          </cell>
          <cell r="M37">
            <v>59</v>
          </cell>
          <cell r="N37">
            <v>57.6</v>
          </cell>
          <cell r="O37">
            <v>62.8</v>
          </cell>
          <cell r="P37">
            <v>54.5</v>
          </cell>
          <cell r="Q37">
            <v>66.5</v>
          </cell>
          <cell r="R37">
            <v>70.2</v>
          </cell>
          <cell r="S37">
            <v>73.900000000000006</v>
          </cell>
          <cell r="T37">
            <v>77.7</v>
          </cell>
          <cell r="U37">
            <v>59.9</v>
          </cell>
          <cell r="V37">
            <v>63.2</v>
          </cell>
          <cell r="W37">
            <v>60</v>
          </cell>
          <cell r="X37">
            <v>66.599999999999994</v>
          </cell>
          <cell r="Y37">
            <v>61.1</v>
          </cell>
          <cell r="Z37">
            <v>69.900000000000006</v>
          </cell>
          <cell r="AA37">
            <v>73.3</v>
          </cell>
          <cell r="AB37">
            <v>76.599999999999994</v>
          </cell>
          <cell r="AC37">
            <v>80</v>
          </cell>
          <cell r="AD37">
            <v>42.9</v>
          </cell>
          <cell r="AE37">
            <v>47.7</v>
          </cell>
          <cell r="AF37">
            <v>44.4</v>
          </cell>
          <cell r="AG37">
            <v>52.4</v>
          </cell>
          <cell r="AH37">
            <v>41</v>
          </cell>
          <cell r="AI37">
            <v>57.2</v>
          </cell>
          <cell r="AJ37">
            <v>61.9</v>
          </cell>
          <cell r="AK37">
            <v>66.7</v>
          </cell>
          <cell r="AL37">
            <v>71.5</v>
          </cell>
          <cell r="AM37" t="str">
            <v>--</v>
          </cell>
          <cell r="AN37" t="str">
            <v>--</v>
          </cell>
          <cell r="AO37" t="str">
            <v>--</v>
          </cell>
          <cell r="AP37" t="str">
            <v>--</v>
          </cell>
          <cell r="AQ37" t="str">
            <v>--</v>
          </cell>
          <cell r="AR37" t="str">
            <v>--</v>
          </cell>
          <cell r="AS37" t="str">
            <v>--</v>
          </cell>
          <cell r="AT37" t="str">
            <v>--</v>
          </cell>
          <cell r="AU37" t="str">
            <v>--</v>
          </cell>
          <cell r="AV37" t="str">
            <v>--</v>
          </cell>
          <cell r="AW37" t="str">
            <v>--</v>
          </cell>
          <cell r="AX37" t="str">
            <v>--</v>
          </cell>
          <cell r="AY37" t="str">
            <v>--</v>
          </cell>
          <cell r="AZ37" t="str">
            <v>--</v>
          </cell>
          <cell r="BA37" t="str">
            <v>--</v>
          </cell>
          <cell r="BB37" t="str">
            <v>--</v>
          </cell>
          <cell r="BC37" t="str">
            <v>--</v>
          </cell>
          <cell r="BD37" t="str">
            <v>--</v>
          </cell>
          <cell r="BE37" t="str">
            <v>--</v>
          </cell>
          <cell r="BF37" t="str">
            <v>--</v>
          </cell>
          <cell r="BG37" t="str">
            <v>--</v>
          </cell>
          <cell r="BH37" t="str">
            <v>--</v>
          </cell>
          <cell r="BI37" t="str">
            <v>--</v>
          </cell>
          <cell r="BJ37" t="str">
            <v>--</v>
          </cell>
          <cell r="BK37" t="str">
            <v>--</v>
          </cell>
          <cell r="BL37" t="str">
            <v>--</v>
          </cell>
          <cell r="BM37" t="str">
            <v>--</v>
          </cell>
          <cell r="BN37">
            <v>35</v>
          </cell>
          <cell r="BO37">
            <v>45</v>
          </cell>
          <cell r="BP37">
            <v>48</v>
          </cell>
          <cell r="BQ37">
            <v>51</v>
          </cell>
          <cell r="BR37">
            <v>36</v>
          </cell>
          <cell r="BS37">
            <v>46</v>
          </cell>
          <cell r="BT37">
            <v>51</v>
          </cell>
          <cell r="BU37">
            <v>51</v>
          </cell>
          <cell r="BV37">
            <v>51</v>
          </cell>
          <cell r="BW37">
            <v>48</v>
          </cell>
          <cell r="BX37">
            <v>51</v>
          </cell>
          <cell r="BY37">
            <v>61</v>
          </cell>
          <cell r="BZ37">
            <v>51</v>
          </cell>
          <cell r="CA37">
            <v>47.5</v>
          </cell>
          <cell r="CB37">
            <v>51</v>
          </cell>
          <cell r="CC37">
            <v>51</v>
          </cell>
          <cell r="CD37">
            <v>51</v>
          </cell>
          <cell r="CE37">
            <v>51</v>
          </cell>
          <cell r="CF37">
            <v>32.200000000000003</v>
          </cell>
          <cell r="CG37">
            <v>29</v>
          </cell>
          <cell r="CH37">
            <v>35.4</v>
          </cell>
          <cell r="CI37">
            <v>31.9</v>
          </cell>
          <cell r="CJ37">
            <v>37.299999999999997</v>
          </cell>
          <cell r="CK37">
            <v>33.6</v>
          </cell>
          <cell r="CL37">
            <v>30.2</v>
          </cell>
          <cell r="CM37">
            <v>27.2</v>
          </cell>
          <cell r="CN37">
            <v>24.5</v>
          </cell>
          <cell r="CO37">
            <v>29.3</v>
          </cell>
          <cell r="CP37">
            <v>26.4</v>
          </cell>
          <cell r="CQ37">
            <v>35.700000000000003</v>
          </cell>
          <cell r="CR37">
            <v>32.1</v>
          </cell>
          <cell r="CS37">
            <v>31.1</v>
          </cell>
          <cell r="CT37">
            <v>28</v>
          </cell>
          <cell r="CU37">
            <v>25.2</v>
          </cell>
          <cell r="CV37">
            <v>22.7</v>
          </cell>
          <cell r="CW37">
            <v>20.399999999999999</v>
          </cell>
          <cell r="CX37">
            <v>56</v>
          </cell>
          <cell r="CY37">
            <v>50.4</v>
          </cell>
          <cell r="CZ37">
            <v>53.3</v>
          </cell>
          <cell r="DA37">
            <v>48</v>
          </cell>
          <cell r="DB37">
            <v>57.3</v>
          </cell>
          <cell r="DC37">
            <v>51.6</v>
          </cell>
          <cell r="DD37">
            <v>46.4</v>
          </cell>
          <cell r="DE37">
            <v>41.8</v>
          </cell>
          <cell r="DF37">
            <v>37.6</v>
          </cell>
          <cell r="DG37">
            <v>0.3</v>
          </cell>
          <cell r="DH37">
            <v>0.3</v>
          </cell>
          <cell r="DI37">
            <v>1.1000000000000001</v>
          </cell>
          <cell r="DJ37">
            <v>1.2</v>
          </cell>
          <cell r="DK37">
            <v>1.4</v>
          </cell>
          <cell r="DL37">
            <v>1.5</v>
          </cell>
          <cell r="DM37">
            <v>1.7</v>
          </cell>
          <cell r="DN37">
            <v>1.9</v>
          </cell>
          <cell r="DO37">
            <v>2</v>
          </cell>
          <cell r="DP37">
            <v>3.1</v>
          </cell>
          <cell r="DQ37">
            <v>3.4</v>
          </cell>
          <cell r="DR37">
            <v>9.6</v>
          </cell>
          <cell r="DS37">
            <v>10.6</v>
          </cell>
          <cell r="DT37">
            <v>10</v>
          </cell>
          <cell r="DU37">
            <v>11</v>
          </cell>
          <cell r="DV37">
            <v>12.1</v>
          </cell>
          <cell r="DW37">
            <v>13.3</v>
          </cell>
          <cell r="DX37">
            <v>14.6</v>
          </cell>
          <cell r="DY37">
            <v>0</v>
          </cell>
          <cell r="DZ37">
            <v>1</v>
          </cell>
          <cell r="EA37">
            <v>0</v>
          </cell>
          <cell r="EB37">
            <v>1</v>
          </cell>
          <cell r="EC37">
            <v>0</v>
          </cell>
          <cell r="ED37">
            <v>1</v>
          </cell>
          <cell r="EE37">
            <v>1.1000000000000001</v>
          </cell>
          <cell r="EF37">
            <v>1.2</v>
          </cell>
          <cell r="EG37">
            <v>1.3</v>
          </cell>
        </row>
        <row r="38">
          <cell r="A38" t="str">
            <v>00350167All students</v>
          </cell>
          <cell r="B38" t="str">
            <v>00350167T</v>
          </cell>
          <cell r="C38" t="str">
            <v>0035</v>
          </cell>
          <cell r="D38" t="str">
            <v>00350167</v>
          </cell>
          <cell r="E38" t="str">
            <v>Boston</v>
          </cell>
          <cell r="F38" t="str">
            <v>John P Holland</v>
          </cell>
          <cell r="G38" t="str">
            <v>ES</v>
          </cell>
          <cell r="H38" t="str">
            <v>Boston - John P Holland (00350167)</v>
          </cell>
          <cell r="I38" t="str">
            <v>All students</v>
          </cell>
          <cell r="J38" t="str">
            <v>00350167All students</v>
          </cell>
          <cell r="K38" t="str">
            <v>Level 4</v>
          </cell>
          <cell r="L38">
            <v>55.3</v>
          </cell>
          <cell r="M38">
            <v>59</v>
          </cell>
          <cell r="N38">
            <v>58.3</v>
          </cell>
          <cell r="O38">
            <v>62.8</v>
          </cell>
          <cell r="P38">
            <v>54.9</v>
          </cell>
          <cell r="Q38">
            <v>66.5</v>
          </cell>
          <cell r="R38">
            <v>70.2</v>
          </cell>
          <cell r="S38">
            <v>73.900000000000006</v>
          </cell>
          <cell r="T38">
            <v>77.7</v>
          </cell>
          <cell r="U38">
            <v>59.8</v>
          </cell>
          <cell r="V38">
            <v>63.2</v>
          </cell>
          <cell r="W38">
            <v>59.8</v>
          </cell>
          <cell r="X38">
            <v>66.5</v>
          </cell>
          <cell r="Y38">
            <v>61</v>
          </cell>
          <cell r="Z38">
            <v>69.900000000000006</v>
          </cell>
          <cell r="AA38">
            <v>73.2</v>
          </cell>
          <cell r="AB38">
            <v>76.599999999999994</v>
          </cell>
          <cell r="AC38">
            <v>79.900000000000006</v>
          </cell>
          <cell r="AD38">
            <v>43.4</v>
          </cell>
          <cell r="AE38">
            <v>48.1</v>
          </cell>
          <cell r="AF38">
            <v>44.3</v>
          </cell>
          <cell r="AG38">
            <v>52.8</v>
          </cell>
          <cell r="AH38">
            <v>40.799999999999997</v>
          </cell>
          <cell r="AI38">
            <v>57.6</v>
          </cell>
          <cell r="AJ38">
            <v>62.3</v>
          </cell>
          <cell r="AK38">
            <v>67</v>
          </cell>
          <cell r="AL38">
            <v>71.7</v>
          </cell>
          <cell r="AM38" t="str">
            <v>--</v>
          </cell>
          <cell r="AN38" t="str">
            <v>--</v>
          </cell>
          <cell r="AO38" t="str">
            <v>--</v>
          </cell>
          <cell r="AP38" t="str">
            <v>--</v>
          </cell>
          <cell r="AQ38" t="str">
            <v>--</v>
          </cell>
          <cell r="AR38" t="str">
            <v>--</v>
          </cell>
          <cell r="AS38" t="str">
            <v>--</v>
          </cell>
          <cell r="AT38" t="str">
            <v>--</v>
          </cell>
          <cell r="AU38" t="str">
            <v>--</v>
          </cell>
          <cell r="AV38" t="str">
            <v>--</v>
          </cell>
          <cell r="AW38" t="str">
            <v>--</v>
          </cell>
          <cell r="AX38" t="str">
            <v>--</v>
          </cell>
          <cell r="AY38" t="str">
            <v>--</v>
          </cell>
          <cell r="AZ38" t="str">
            <v>--</v>
          </cell>
          <cell r="BA38" t="str">
            <v>--</v>
          </cell>
          <cell r="BB38" t="str">
            <v>--</v>
          </cell>
          <cell r="BC38" t="str">
            <v>--</v>
          </cell>
          <cell r="BD38" t="str">
            <v>--</v>
          </cell>
          <cell r="BE38" t="str">
            <v>--</v>
          </cell>
          <cell r="BF38" t="str">
            <v>--</v>
          </cell>
          <cell r="BG38" t="str">
            <v>--</v>
          </cell>
          <cell r="BH38" t="str">
            <v>--</v>
          </cell>
          <cell r="BI38" t="str">
            <v>--</v>
          </cell>
          <cell r="BJ38" t="str">
            <v>--</v>
          </cell>
          <cell r="BK38" t="str">
            <v>--</v>
          </cell>
          <cell r="BL38" t="str">
            <v>--</v>
          </cell>
          <cell r="BM38" t="str">
            <v>--</v>
          </cell>
          <cell r="BN38">
            <v>35</v>
          </cell>
          <cell r="BO38">
            <v>45</v>
          </cell>
          <cell r="BP38">
            <v>49</v>
          </cell>
          <cell r="BQ38">
            <v>51</v>
          </cell>
          <cell r="BR38">
            <v>37.5</v>
          </cell>
          <cell r="BS38">
            <v>47.5</v>
          </cell>
          <cell r="BT38">
            <v>51</v>
          </cell>
          <cell r="BU38">
            <v>51</v>
          </cell>
          <cell r="BV38">
            <v>51</v>
          </cell>
          <cell r="BW38">
            <v>48</v>
          </cell>
          <cell r="BX38">
            <v>51</v>
          </cell>
          <cell r="BY38">
            <v>60.5</v>
          </cell>
          <cell r="BZ38">
            <v>51</v>
          </cell>
          <cell r="CA38">
            <v>47</v>
          </cell>
          <cell r="CB38">
            <v>51</v>
          </cell>
          <cell r="CC38">
            <v>51</v>
          </cell>
          <cell r="CD38">
            <v>51</v>
          </cell>
          <cell r="CE38">
            <v>51</v>
          </cell>
          <cell r="CF38">
            <v>31.9</v>
          </cell>
          <cell r="CG38">
            <v>28.7</v>
          </cell>
          <cell r="CH38">
            <v>34</v>
          </cell>
          <cell r="CI38">
            <v>30.6</v>
          </cell>
          <cell r="CJ38">
            <v>36.5</v>
          </cell>
          <cell r="CK38">
            <v>32.9</v>
          </cell>
          <cell r="CL38">
            <v>29.6</v>
          </cell>
          <cell r="CM38">
            <v>26.6</v>
          </cell>
          <cell r="CN38">
            <v>23.9</v>
          </cell>
          <cell r="CO38">
            <v>29.4</v>
          </cell>
          <cell r="CP38">
            <v>26.5</v>
          </cell>
          <cell r="CQ38">
            <v>35</v>
          </cell>
          <cell r="CR38">
            <v>31.5</v>
          </cell>
          <cell r="CS38">
            <v>30.4</v>
          </cell>
          <cell r="CT38">
            <v>27.4</v>
          </cell>
          <cell r="CU38">
            <v>24.6</v>
          </cell>
          <cell r="CV38">
            <v>22.2</v>
          </cell>
          <cell r="CW38">
            <v>19.899999999999999</v>
          </cell>
          <cell r="CX38">
            <v>55.2</v>
          </cell>
          <cell r="CY38">
            <v>49.7</v>
          </cell>
          <cell r="CZ38">
            <v>53.1</v>
          </cell>
          <cell r="DA38">
            <v>47.8</v>
          </cell>
          <cell r="DB38">
            <v>57.9</v>
          </cell>
          <cell r="DC38">
            <v>52.1</v>
          </cell>
          <cell r="DD38">
            <v>46.9</v>
          </cell>
          <cell r="DE38">
            <v>42.2</v>
          </cell>
          <cell r="DF38">
            <v>38</v>
          </cell>
          <cell r="DG38">
            <v>0.3</v>
          </cell>
          <cell r="DH38">
            <v>0.3</v>
          </cell>
          <cell r="DI38">
            <v>1</v>
          </cell>
          <cell r="DJ38">
            <v>1.1000000000000001</v>
          </cell>
          <cell r="DK38">
            <v>1.4</v>
          </cell>
          <cell r="DL38">
            <v>1.5</v>
          </cell>
          <cell r="DM38">
            <v>1.7</v>
          </cell>
          <cell r="DN38">
            <v>1.9</v>
          </cell>
          <cell r="DO38">
            <v>2</v>
          </cell>
          <cell r="DP38">
            <v>3</v>
          </cell>
          <cell r="DQ38">
            <v>3.3</v>
          </cell>
          <cell r="DR38">
            <v>9.1</v>
          </cell>
          <cell r="DS38">
            <v>10</v>
          </cell>
          <cell r="DT38">
            <v>9.6999999999999993</v>
          </cell>
          <cell r="DU38">
            <v>10.7</v>
          </cell>
          <cell r="DV38">
            <v>11.7</v>
          </cell>
          <cell r="DW38">
            <v>12.9</v>
          </cell>
          <cell r="DX38">
            <v>14.2</v>
          </cell>
          <cell r="DY38">
            <v>0</v>
          </cell>
          <cell r="DZ38">
            <v>1</v>
          </cell>
          <cell r="EA38">
            <v>0</v>
          </cell>
          <cell r="EB38">
            <v>1</v>
          </cell>
          <cell r="EC38">
            <v>0</v>
          </cell>
          <cell r="ED38">
            <v>1</v>
          </cell>
          <cell r="EE38">
            <v>1.1000000000000001</v>
          </cell>
          <cell r="EF38">
            <v>1.2</v>
          </cell>
          <cell r="EG38">
            <v>1.3</v>
          </cell>
        </row>
        <row r="39">
          <cell r="A39" t="str">
            <v>00350180Asian</v>
          </cell>
          <cell r="B39" t="str">
            <v>00350180A</v>
          </cell>
          <cell r="C39" t="str">
            <v>0035</v>
          </cell>
          <cell r="D39" t="str">
            <v>00350180</v>
          </cell>
          <cell r="E39" t="str">
            <v>Boston</v>
          </cell>
          <cell r="F39" t="str">
            <v>John Winthrop</v>
          </cell>
          <cell r="G39" t="str">
            <v>ES</v>
          </cell>
          <cell r="H39" t="str">
            <v>Boston - John Winthrop (00350180)</v>
          </cell>
          <cell r="I39" t="str">
            <v>Asian</v>
          </cell>
          <cell r="J39" t="str">
            <v>00350180Asian</v>
          </cell>
          <cell r="K39" t="str">
            <v>--</v>
          </cell>
          <cell r="L39" t="str">
            <v>--</v>
          </cell>
          <cell r="M39" t="str">
            <v>--</v>
          </cell>
          <cell r="N39" t="str">
            <v>--</v>
          </cell>
          <cell r="O39" t="str">
            <v>--</v>
          </cell>
          <cell r="P39" t="str">
            <v>--</v>
          </cell>
          <cell r="Q39" t="str">
            <v>--</v>
          </cell>
          <cell r="R39" t="str">
            <v>--</v>
          </cell>
          <cell r="S39" t="str">
            <v>--</v>
          </cell>
          <cell r="T39" t="str">
            <v>--</v>
          </cell>
          <cell r="U39" t="str">
            <v>--</v>
          </cell>
          <cell r="V39" t="str">
            <v>--</v>
          </cell>
          <cell r="W39" t="str">
            <v>--</v>
          </cell>
          <cell r="X39" t="str">
            <v>--</v>
          </cell>
          <cell r="Y39" t="str">
            <v>--</v>
          </cell>
          <cell r="Z39" t="str">
            <v>--</v>
          </cell>
          <cell r="AA39" t="str">
            <v>--</v>
          </cell>
          <cell r="AB39" t="str">
            <v>--</v>
          </cell>
          <cell r="AC39" t="str">
            <v>--</v>
          </cell>
          <cell r="AD39" t="str">
            <v>--</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t="str">
            <v>--</v>
          </cell>
          <cell r="AQ39" t="str">
            <v>--</v>
          </cell>
          <cell r="AR39" t="str">
            <v>--</v>
          </cell>
          <cell r="AS39" t="str">
            <v>--</v>
          </cell>
          <cell r="AT39" t="str">
            <v>--</v>
          </cell>
          <cell r="AU39" t="str">
            <v>--</v>
          </cell>
          <cell r="AV39" t="str">
            <v>--</v>
          </cell>
          <cell r="AW39" t="str">
            <v>--</v>
          </cell>
          <cell r="AX39" t="str">
            <v>--</v>
          </cell>
          <cell r="AY39" t="str">
            <v>--</v>
          </cell>
          <cell r="AZ39" t="str">
            <v>--</v>
          </cell>
          <cell r="BA39" t="str">
            <v>--</v>
          </cell>
          <cell r="BB39" t="str">
            <v>--</v>
          </cell>
          <cell r="BC39" t="str">
            <v>--</v>
          </cell>
          <cell r="BD39" t="str">
            <v>--</v>
          </cell>
          <cell r="BE39" t="str">
            <v>--</v>
          </cell>
          <cell r="BF39" t="str">
            <v>--</v>
          </cell>
          <cell r="BG39" t="str">
            <v>--</v>
          </cell>
          <cell r="BH39" t="str">
            <v>--</v>
          </cell>
          <cell r="BI39" t="str">
            <v>--</v>
          </cell>
          <cell r="BJ39" t="str">
            <v>--</v>
          </cell>
          <cell r="BK39" t="str">
            <v>--</v>
          </cell>
          <cell r="BL39" t="str">
            <v>--</v>
          </cell>
          <cell r="BM39" t="str">
            <v>--</v>
          </cell>
          <cell r="BN39" t="str">
            <v>--</v>
          </cell>
          <cell r="BO39" t="str">
            <v>--</v>
          </cell>
          <cell r="BP39" t="str">
            <v>--</v>
          </cell>
          <cell r="BQ39" t="str">
            <v>--</v>
          </cell>
          <cell r="BR39" t="str">
            <v>--</v>
          </cell>
          <cell r="BS39" t="str">
            <v>--</v>
          </cell>
          <cell r="BT39" t="str">
            <v>--</v>
          </cell>
          <cell r="BU39" t="str">
            <v>--</v>
          </cell>
          <cell r="BV39" t="str">
            <v>--</v>
          </cell>
          <cell r="BW39" t="str">
            <v>--</v>
          </cell>
          <cell r="BX39" t="str">
            <v>--</v>
          </cell>
          <cell r="BY39" t="str">
            <v>--</v>
          </cell>
          <cell r="BZ39" t="str">
            <v>--</v>
          </cell>
          <cell r="CA39" t="str">
            <v>--</v>
          </cell>
          <cell r="CB39" t="str">
            <v>--</v>
          </cell>
          <cell r="CC39" t="str">
            <v>--</v>
          </cell>
          <cell r="CD39" t="str">
            <v>--</v>
          </cell>
          <cell r="CE39" t="str">
            <v>--</v>
          </cell>
          <cell r="CF39" t="str">
            <v>--</v>
          </cell>
          <cell r="CG39" t="str">
            <v>--</v>
          </cell>
          <cell r="CH39" t="str">
            <v>--</v>
          </cell>
          <cell r="CI39" t="str">
            <v>--</v>
          </cell>
          <cell r="CJ39" t="str">
            <v>--</v>
          </cell>
          <cell r="CK39" t="str">
            <v>--</v>
          </cell>
          <cell r="CL39" t="str">
            <v>--</v>
          </cell>
          <cell r="CM39" t="str">
            <v>--</v>
          </cell>
          <cell r="CN39" t="str">
            <v>--</v>
          </cell>
          <cell r="CO39" t="str">
            <v>--</v>
          </cell>
          <cell r="CP39" t="str">
            <v>--</v>
          </cell>
          <cell r="CQ39" t="str">
            <v>--</v>
          </cell>
          <cell r="CR39" t="str">
            <v>--</v>
          </cell>
          <cell r="CS39" t="str">
            <v>--</v>
          </cell>
          <cell r="CT39" t="str">
            <v>--</v>
          </cell>
          <cell r="CU39" t="str">
            <v>--</v>
          </cell>
          <cell r="CV39" t="str">
            <v>--</v>
          </cell>
          <cell r="CW39" t="str">
            <v>--</v>
          </cell>
          <cell r="CX39" t="str">
            <v>--</v>
          </cell>
          <cell r="CY39" t="str">
            <v>--</v>
          </cell>
          <cell r="CZ39" t="str">
            <v>--</v>
          </cell>
          <cell r="DA39" t="str">
            <v>--</v>
          </cell>
          <cell r="DB39" t="str">
            <v>--</v>
          </cell>
          <cell r="DC39" t="str">
            <v>--</v>
          </cell>
          <cell r="DD39" t="str">
            <v>--</v>
          </cell>
          <cell r="DE39" t="str">
            <v>--</v>
          </cell>
          <cell r="DF39" t="str">
            <v>--</v>
          </cell>
          <cell r="DG39" t="str">
            <v>--</v>
          </cell>
          <cell r="DH39" t="str">
            <v>--</v>
          </cell>
          <cell r="DI39" t="str">
            <v>--</v>
          </cell>
          <cell r="DJ39" t="str">
            <v>--</v>
          </cell>
          <cell r="DK39" t="str">
            <v>--</v>
          </cell>
          <cell r="DL39" t="str">
            <v>--</v>
          </cell>
          <cell r="DM39" t="str">
            <v>--</v>
          </cell>
          <cell r="DN39" t="str">
            <v>--</v>
          </cell>
          <cell r="DO39" t="str">
            <v>--</v>
          </cell>
          <cell r="DP39" t="str">
            <v>--</v>
          </cell>
          <cell r="DQ39" t="str">
            <v>--</v>
          </cell>
          <cell r="DR39" t="str">
            <v>--</v>
          </cell>
          <cell r="DS39" t="str">
            <v>--</v>
          </cell>
          <cell r="DT39" t="str">
            <v>--</v>
          </cell>
          <cell r="DU39" t="str">
            <v>--</v>
          </cell>
          <cell r="DV39" t="str">
            <v>--</v>
          </cell>
          <cell r="DW39" t="str">
            <v>--</v>
          </cell>
          <cell r="DX39" t="str">
            <v>--</v>
          </cell>
          <cell r="DY39" t="str">
            <v>--</v>
          </cell>
          <cell r="DZ39" t="str">
            <v>--</v>
          </cell>
          <cell r="EA39" t="str">
            <v>--</v>
          </cell>
          <cell r="EB39" t="str">
            <v>--</v>
          </cell>
          <cell r="EC39" t="str">
            <v>--</v>
          </cell>
          <cell r="ED39" t="str">
            <v>--</v>
          </cell>
          <cell r="EE39" t="str">
            <v>--</v>
          </cell>
          <cell r="EF39" t="str">
            <v>--</v>
          </cell>
          <cell r="EG39" t="str">
            <v>--</v>
          </cell>
        </row>
        <row r="40">
          <cell r="A40" t="str">
            <v>00350180Afr. Amer/Black</v>
          </cell>
          <cell r="B40" t="str">
            <v>00350180B</v>
          </cell>
          <cell r="C40" t="str">
            <v>0035</v>
          </cell>
          <cell r="D40" t="str">
            <v>00350180</v>
          </cell>
          <cell r="E40" t="str">
            <v>Boston</v>
          </cell>
          <cell r="F40" t="str">
            <v>John Winthrop</v>
          </cell>
          <cell r="G40" t="str">
            <v>ES</v>
          </cell>
          <cell r="H40" t="str">
            <v>Boston - John Winthrop (00350180)</v>
          </cell>
          <cell r="I40" t="str">
            <v>Afr. Amer/Black</v>
          </cell>
          <cell r="J40" t="str">
            <v>00350180Afr. Amer/Black</v>
          </cell>
          <cell r="K40" t="str">
            <v>--</v>
          </cell>
          <cell r="L40">
            <v>68.8</v>
          </cell>
          <cell r="M40">
            <v>71.400000000000006</v>
          </cell>
          <cell r="N40">
            <v>61.2</v>
          </cell>
          <cell r="O40">
            <v>74</v>
          </cell>
          <cell r="P40">
            <v>59.9</v>
          </cell>
          <cell r="Q40">
            <v>76.599999999999994</v>
          </cell>
          <cell r="R40">
            <v>79.2</v>
          </cell>
          <cell r="S40">
            <v>81.8</v>
          </cell>
          <cell r="T40">
            <v>84.4</v>
          </cell>
          <cell r="U40">
            <v>66.5</v>
          </cell>
          <cell r="V40">
            <v>69.3</v>
          </cell>
          <cell r="W40">
            <v>57.7</v>
          </cell>
          <cell r="X40">
            <v>72.099999999999994</v>
          </cell>
          <cell r="Y40">
            <v>54.8</v>
          </cell>
          <cell r="Z40">
            <v>74.900000000000006</v>
          </cell>
          <cell r="AA40">
            <v>77.7</v>
          </cell>
          <cell r="AB40">
            <v>80.5</v>
          </cell>
          <cell r="AC40">
            <v>83.3</v>
          </cell>
          <cell r="AD40">
            <v>47.6</v>
          </cell>
          <cell r="AE40">
            <v>52</v>
          </cell>
          <cell r="AF40">
            <v>41.3</v>
          </cell>
          <cell r="AG40">
            <v>56.3</v>
          </cell>
          <cell r="AH40">
            <v>52.6</v>
          </cell>
          <cell r="AI40">
            <v>60.7</v>
          </cell>
          <cell r="AJ40">
            <v>65.099999999999994</v>
          </cell>
          <cell r="AK40">
            <v>69.400000000000006</v>
          </cell>
          <cell r="AL40">
            <v>73.8</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t="str">
            <v>--</v>
          </cell>
          <cell r="BF40" t="str">
            <v>--</v>
          </cell>
          <cell r="BG40" t="str">
            <v>--</v>
          </cell>
          <cell r="BH40" t="str">
            <v>--</v>
          </cell>
          <cell r="BI40" t="str">
            <v>--</v>
          </cell>
          <cell r="BJ40" t="str">
            <v>--</v>
          </cell>
          <cell r="BK40" t="str">
            <v>--</v>
          </cell>
          <cell r="BL40" t="str">
            <v>--</v>
          </cell>
          <cell r="BM40" t="str">
            <v>--</v>
          </cell>
          <cell r="BN40">
            <v>53</v>
          </cell>
          <cell r="BO40">
            <v>51</v>
          </cell>
          <cell r="BP40">
            <v>36.5</v>
          </cell>
          <cell r="BQ40">
            <v>46.5</v>
          </cell>
          <cell r="BR40">
            <v>31</v>
          </cell>
          <cell r="BS40">
            <v>41</v>
          </cell>
          <cell r="BT40">
            <v>51</v>
          </cell>
          <cell r="BU40">
            <v>51</v>
          </cell>
          <cell r="BV40">
            <v>51</v>
          </cell>
          <cell r="BW40">
            <v>54</v>
          </cell>
          <cell r="BX40">
            <v>51</v>
          </cell>
          <cell r="BY40">
            <v>30</v>
          </cell>
          <cell r="BZ40">
            <v>40</v>
          </cell>
          <cell r="CA40">
            <v>30</v>
          </cell>
          <cell r="CB40">
            <v>40</v>
          </cell>
          <cell r="CC40">
            <v>50</v>
          </cell>
          <cell r="CD40">
            <v>51</v>
          </cell>
          <cell r="CE40">
            <v>51</v>
          </cell>
          <cell r="CF40">
            <v>13.2</v>
          </cell>
          <cell r="CG40">
            <v>11.9</v>
          </cell>
          <cell r="CH40">
            <v>24.4</v>
          </cell>
          <cell r="CI40">
            <v>22</v>
          </cell>
          <cell r="CJ40">
            <v>30.8</v>
          </cell>
          <cell r="CK40">
            <v>27.7</v>
          </cell>
          <cell r="CL40">
            <v>24.9</v>
          </cell>
          <cell r="CM40">
            <v>22.5</v>
          </cell>
          <cell r="CN40">
            <v>20.2</v>
          </cell>
          <cell r="CO40">
            <v>23.5</v>
          </cell>
          <cell r="CP40">
            <v>21.2</v>
          </cell>
          <cell r="CQ40">
            <v>23.1</v>
          </cell>
          <cell r="CR40">
            <v>20.8</v>
          </cell>
          <cell r="CS40">
            <v>35.9</v>
          </cell>
          <cell r="CT40">
            <v>32.299999999999997</v>
          </cell>
          <cell r="CU40">
            <v>29.1</v>
          </cell>
          <cell r="CV40">
            <v>26.2</v>
          </cell>
          <cell r="CW40">
            <v>23.6</v>
          </cell>
          <cell r="CX40">
            <v>38.1</v>
          </cell>
          <cell r="CY40">
            <v>34.299999999999997</v>
          </cell>
          <cell r="CZ40">
            <v>56.5</v>
          </cell>
          <cell r="DA40">
            <v>50.9</v>
          </cell>
          <cell r="DB40">
            <v>31</v>
          </cell>
          <cell r="DC40">
            <v>27.9</v>
          </cell>
          <cell r="DD40">
            <v>25.1</v>
          </cell>
          <cell r="DE40">
            <v>22.6</v>
          </cell>
          <cell r="DF40">
            <v>20.3</v>
          </cell>
          <cell r="DG40">
            <v>1.5</v>
          </cell>
          <cell r="DH40">
            <v>1.7</v>
          </cell>
          <cell r="DI40">
            <v>1.3</v>
          </cell>
          <cell r="DJ40">
            <v>1.4</v>
          </cell>
          <cell r="DK40">
            <v>1.3</v>
          </cell>
          <cell r="DL40">
            <v>1.4</v>
          </cell>
          <cell r="DM40">
            <v>1.6</v>
          </cell>
          <cell r="DN40">
            <v>1.7</v>
          </cell>
          <cell r="DO40">
            <v>1.9</v>
          </cell>
          <cell r="DP40">
            <v>2.9</v>
          </cell>
          <cell r="DQ40">
            <v>3.2</v>
          </cell>
          <cell r="DR40">
            <v>0</v>
          </cell>
          <cell r="DS40">
            <v>1</v>
          </cell>
          <cell r="DT40">
            <v>5.0999999999999996</v>
          </cell>
          <cell r="DU40">
            <v>5.6</v>
          </cell>
          <cell r="DV40">
            <v>6.2</v>
          </cell>
          <cell r="DW40">
            <v>6.8</v>
          </cell>
          <cell r="DX40">
            <v>7.5</v>
          </cell>
          <cell r="DY40">
            <v>0</v>
          </cell>
          <cell r="DZ40">
            <v>1</v>
          </cell>
          <cell r="EA40">
            <v>0</v>
          </cell>
          <cell r="EB40">
            <v>1</v>
          </cell>
          <cell r="EC40">
            <v>0</v>
          </cell>
          <cell r="ED40">
            <v>1</v>
          </cell>
          <cell r="EE40">
            <v>1.1000000000000001</v>
          </cell>
          <cell r="EF40">
            <v>1.2</v>
          </cell>
          <cell r="EG40">
            <v>1.3</v>
          </cell>
        </row>
        <row r="41">
          <cell r="A41" t="str">
            <v>00350180White</v>
          </cell>
          <cell r="B41" t="str">
            <v>00350180C</v>
          </cell>
          <cell r="C41" t="str">
            <v>0035</v>
          </cell>
          <cell r="D41" t="str">
            <v>00350180</v>
          </cell>
          <cell r="E41" t="str">
            <v>Boston</v>
          </cell>
          <cell r="F41" t="str">
            <v>John Winthrop</v>
          </cell>
          <cell r="G41" t="str">
            <v>ES</v>
          </cell>
          <cell r="H41" t="str">
            <v>Boston - John Winthrop (00350180)</v>
          </cell>
          <cell r="I41" t="str">
            <v>White</v>
          </cell>
          <cell r="J41" t="str">
            <v>00350180White</v>
          </cell>
          <cell r="K41" t="str">
            <v>--</v>
          </cell>
          <cell r="L41" t="str">
            <v>--</v>
          </cell>
          <cell r="M41" t="str">
            <v>--</v>
          </cell>
          <cell r="N41" t="str">
            <v>--</v>
          </cell>
          <cell r="O41" t="str">
            <v>--</v>
          </cell>
          <cell r="P41" t="str">
            <v>--</v>
          </cell>
          <cell r="Q41" t="str">
            <v>--</v>
          </cell>
          <cell r="R41" t="str">
            <v>--</v>
          </cell>
          <cell r="S41" t="str">
            <v>--</v>
          </cell>
          <cell r="T41" t="str">
            <v>--</v>
          </cell>
          <cell r="U41" t="str">
            <v>--</v>
          </cell>
          <cell r="V41" t="str">
            <v>--</v>
          </cell>
          <cell r="W41" t="str">
            <v>--</v>
          </cell>
          <cell r="X41" t="str">
            <v>--</v>
          </cell>
          <cell r="Y41" t="str">
            <v>--</v>
          </cell>
          <cell r="Z41" t="str">
            <v>--</v>
          </cell>
          <cell r="AA41" t="str">
            <v>--</v>
          </cell>
          <cell r="AB41" t="str">
            <v>--</v>
          </cell>
          <cell r="AC41" t="str">
            <v>--</v>
          </cell>
          <cell r="AD41" t="str">
            <v>--</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t="str">
            <v>--</v>
          </cell>
          <cell r="BT41" t="str">
            <v>--</v>
          </cell>
          <cell r="BU41" t="str">
            <v>--</v>
          </cell>
          <cell r="BV41" t="str">
            <v>--</v>
          </cell>
          <cell r="BW41" t="str">
            <v>--</v>
          </cell>
          <cell r="BX41" t="str">
            <v>--</v>
          </cell>
          <cell r="BY41" t="str">
            <v>--</v>
          </cell>
          <cell r="BZ41" t="str">
            <v>--</v>
          </cell>
          <cell r="CA41" t="str">
            <v>--</v>
          </cell>
          <cell r="CB41" t="str">
            <v>--</v>
          </cell>
          <cell r="CC41" t="str">
            <v>--</v>
          </cell>
          <cell r="CD41" t="str">
            <v>--</v>
          </cell>
          <cell r="CE41" t="str">
            <v>--</v>
          </cell>
          <cell r="CF41" t="str">
            <v>--</v>
          </cell>
          <cell r="CG41" t="str">
            <v>--</v>
          </cell>
          <cell r="CH41" t="str">
            <v>--</v>
          </cell>
          <cell r="CI41" t="str">
            <v>--</v>
          </cell>
          <cell r="CJ41" t="str">
            <v>--</v>
          </cell>
          <cell r="CK41" t="str">
            <v>--</v>
          </cell>
          <cell r="CL41" t="str">
            <v>--</v>
          </cell>
          <cell r="CM41" t="str">
            <v>--</v>
          </cell>
          <cell r="CN41" t="str">
            <v>--</v>
          </cell>
          <cell r="CO41" t="str">
            <v>--</v>
          </cell>
          <cell r="CP41" t="str">
            <v>--</v>
          </cell>
          <cell r="CQ41" t="str">
            <v>--</v>
          </cell>
          <cell r="CR41" t="str">
            <v>--</v>
          </cell>
          <cell r="CS41" t="str">
            <v>--</v>
          </cell>
          <cell r="CT41" t="str">
            <v>--</v>
          </cell>
          <cell r="CU41" t="str">
            <v>--</v>
          </cell>
          <cell r="CV41" t="str">
            <v>--</v>
          </cell>
          <cell r="CW41" t="str">
            <v>--</v>
          </cell>
          <cell r="CX41" t="str">
            <v>--</v>
          </cell>
          <cell r="CY41" t="str">
            <v>--</v>
          </cell>
          <cell r="CZ41" t="str">
            <v>--</v>
          </cell>
          <cell r="DA41" t="str">
            <v>--</v>
          </cell>
          <cell r="DB41" t="str">
            <v>--</v>
          </cell>
          <cell r="DC41" t="str">
            <v>--</v>
          </cell>
          <cell r="DD41" t="str">
            <v>--</v>
          </cell>
          <cell r="DE41" t="str">
            <v>--</v>
          </cell>
          <cell r="DF41" t="str">
            <v>--</v>
          </cell>
          <cell r="DG41" t="str">
            <v>--</v>
          </cell>
          <cell r="DH41" t="str">
            <v>--</v>
          </cell>
          <cell r="DI41" t="str">
            <v>--</v>
          </cell>
          <cell r="DJ41" t="str">
            <v>--</v>
          </cell>
          <cell r="DK41" t="str">
            <v>--</v>
          </cell>
          <cell r="DL41" t="str">
            <v>--</v>
          </cell>
          <cell r="DM41" t="str">
            <v>--</v>
          </cell>
          <cell r="DN41" t="str">
            <v>--</v>
          </cell>
          <cell r="DO41" t="str">
            <v>--</v>
          </cell>
          <cell r="DP41" t="str">
            <v>--</v>
          </cell>
          <cell r="DQ41" t="str">
            <v>--</v>
          </cell>
          <cell r="DR41" t="str">
            <v>--</v>
          </cell>
          <cell r="DS41" t="str">
            <v>--</v>
          </cell>
          <cell r="DT41" t="str">
            <v>--</v>
          </cell>
          <cell r="DU41" t="str">
            <v>--</v>
          </cell>
          <cell r="DV41" t="str">
            <v>--</v>
          </cell>
          <cell r="DW41" t="str">
            <v>--</v>
          </cell>
          <cell r="DX41" t="str">
            <v>--</v>
          </cell>
          <cell r="DY41" t="str">
            <v>--</v>
          </cell>
          <cell r="DZ41" t="str">
            <v>--</v>
          </cell>
          <cell r="EA41" t="str">
            <v>--</v>
          </cell>
          <cell r="EB41" t="str">
            <v>--</v>
          </cell>
          <cell r="EC41" t="str">
            <v>--</v>
          </cell>
          <cell r="ED41" t="str">
            <v>--</v>
          </cell>
          <cell r="EE41" t="str">
            <v>--</v>
          </cell>
          <cell r="EF41" t="str">
            <v>--</v>
          </cell>
          <cell r="EG41" t="str">
            <v>--</v>
          </cell>
        </row>
        <row r="42">
          <cell r="A42" t="str">
            <v>00350180Students w/disabilities</v>
          </cell>
          <cell r="B42" t="str">
            <v>00350180D</v>
          </cell>
          <cell r="C42" t="str">
            <v>0035</v>
          </cell>
          <cell r="D42" t="str">
            <v>00350180</v>
          </cell>
          <cell r="E42" t="str">
            <v>Boston</v>
          </cell>
          <cell r="F42" t="str">
            <v>John Winthrop</v>
          </cell>
          <cell r="G42" t="str">
            <v>ES</v>
          </cell>
          <cell r="H42" t="str">
            <v>Boston - John Winthrop (00350180)</v>
          </cell>
          <cell r="I42" t="str">
            <v>Students w/disabilities</v>
          </cell>
          <cell r="J42" t="str">
            <v>00350180Students w/disabilities</v>
          </cell>
          <cell r="K42" t="str">
            <v>--</v>
          </cell>
          <cell r="L42">
            <v>50</v>
          </cell>
          <cell r="M42">
            <v>54.2</v>
          </cell>
          <cell r="N42">
            <v>43.8</v>
          </cell>
          <cell r="O42">
            <v>58.3</v>
          </cell>
          <cell r="P42">
            <v>36.4</v>
          </cell>
          <cell r="Q42">
            <v>62.5</v>
          </cell>
          <cell r="R42">
            <v>66.7</v>
          </cell>
          <cell r="S42">
            <v>70.8</v>
          </cell>
          <cell r="T42">
            <v>75</v>
          </cell>
          <cell r="U42">
            <v>34.5</v>
          </cell>
          <cell r="V42">
            <v>40</v>
          </cell>
          <cell r="W42">
            <v>37.5</v>
          </cell>
          <cell r="X42">
            <v>45.4</v>
          </cell>
          <cell r="Y42">
            <v>25</v>
          </cell>
          <cell r="Z42">
            <v>50.9</v>
          </cell>
          <cell r="AA42">
            <v>56.3</v>
          </cell>
          <cell r="AB42">
            <v>61.8</v>
          </cell>
          <cell r="AC42">
            <v>67.3</v>
          </cell>
          <cell r="AD42" t="str">
            <v>--</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t="str">
            <v>--</v>
          </cell>
          <cell r="AQ42" t="str">
            <v>--</v>
          </cell>
          <cell r="AR42" t="str">
            <v>--</v>
          </cell>
          <cell r="AS42" t="str">
            <v>--</v>
          </cell>
          <cell r="AT42" t="str">
            <v>--</v>
          </cell>
          <cell r="AU42" t="str">
            <v>--</v>
          </cell>
          <cell r="AV42" t="str">
            <v>--</v>
          </cell>
          <cell r="AW42" t="str">
            <v>--</v>
          </cell>
          <cell r="AX42" t="str">
            <v>--</v>
          </cell>
          <cell r="AY42" t="str">
            <v>--</v>
          </cell>
          <cell r="AZ42" t="str">
            <v>--</v>
          </cell>
          <cell r="BA42" t="str">
            <v>--</v>
          </cell>
          <cell r="BB42" t="str">
            <v>--</v>
          </cell>
          <cell r="BC42" t="str">
            <v>--</v>
          </cell>
          <cell r="BD42" t="str">
            <v>--</v>
          </cell>
          <cell r="BE42" t="str">
            <v>--</v>
          </cell>
          <cell r="BF42" t="str">
            <v>--</v>
          </cell>
          <cell r="BG42" t="str">
            <v>--</v>
          </cell>
          <cell r="BH42" t="str">
            <v>--</v>
          </cell>
          <cell r="BI42" t="str">
            <v>--</v>
          </cell>
          <cell r="BJ42" t="str">
            <v>--</v>
          </cell>
          <cell r="BK42" t="str">
            <v>--</v>
          </cell>
          <cell r="BL42" t="str">
            <v>--</v>
          </cell>
          <cell r="BM42" t="str">
            <v>--</v>
          </cell>
          <cell r="BN42">
            <v>22.5</v>
          </cell>
          <cell r="BO42">
            <v>32.5</v>
          </cell>
          <cell r="BP42" t="str">
            <v>--</v>
          </cell>
          <cell r="BQ42">
            <v>42.5</v>
          </cell>
          <cell r="BR42" t="str">
            <v>--</v>
          </cell>
          <cell r="BS42">
            <v>51</v>
          </cell>
          <cell r="BT42">
            <v>51</v>
          </cell>
          <cell r="BU42">
            <v>51</v>
          </cell>
          <cell r="BV42">
            <v>51</v>
          </cell>
          <cell r="BW42">
            <v>38</v>
          </cell>
          <cell r="BX42">
            <v>48</v>
          </cell>
          <cell r="BY42" t="str">
            <v>--</v>
          </cell>
          <cell r="BZ42">
            <v>51</v>
          </cell>
          <cell r="CA42" t="str">
            <v>--</v>
          </cell>
          <cell r="CB42">
            <v>51</v>
          </cell>
          <cell r="CC42">
            <v>51</v>
          </cell>
          <cell r="CD42">
            <v>51</v>
          </cell>
          <cell r="CE42">
            <v>51</v>
          </cell>
          <cell r="CF42">
            <v>37.9</v>
          </cell>
          <cell r="CG42">
            <v>34.1</v>
          </cell>
          <cell r="CH42">
            <v>45</v>
          </cell>
          <cell r="CI42">
            <v>40.5</v>
          </cell>
          <cell r="CJ42">
            <v>59.1</v>
          </cell>
          <cell r="CK42">
            <v>53.2</v>
          </cell>
          <cell r="CL42">
            <v>47.9</v>
          </cell>
          <cell r="CM42">
            <v>43.1</v>
          </cell>
          <cell r="CN42">
            <v>38.799999999999997</v>
          </cell>
          <cell r="CO42">
            <v>65.5</v>
          </cell>
          <cell r="CP42">
            <v>59</v>
          </cell>
          <cell r="CQ42">
            <v>65</v>
          </cell>
          <cell r="CR42">
            <v>58.5</v>
          </cell>
          <cell r="CS42">
            <v>86.4</v>
          </cell>
          <cell r="CT42">
            <v>77.8</v>
          </cell>
          <cell r="CU42">
            <v>70</v>
          </cell>
          <cell r="CV42">
            <v>63</v>
          </cell>
          <cell r="CW42">
            <v>56.7</v>
          </cell>
          <cell r="CX42" t="str">
            <v>--</v>
          </cell>
          <cell r="CY42" t="str">
            <v>--</v>
          </cell>
          <cell r="CZ42" t="str">
            <v>--</v>
          </cell>
          <cell r="DA42" t="str">
            <v>--</v>
          </cell>
          <cell r="DB42" t="str">
            <v>--</v>
          </cell>
          <cell r="DC42" t="str">
            <v>--</v>
          </cell>
          <cell r="DD42" t="str">
            <v>--</v>
          </cell>
          <cell r="DE42" t="str">
            <v>--</v>
          </cell>
          <cell r="DF42" t="str">
            <v>--</v>
          </cell>
          <cell r="DG42">
            <v>0</v>
          </cell>
          <cell r="DH42">
            <v>1</v>
          </cell>
          <cell r="DI42">
            <v>0</v>
          </cell>
          <cell r="DJ42">
            <v>1</v>
          </cell>
          <cell r="DK42">
            <v>0</v>
          </cell>
          <cell r="DL42">
            <v>1</v>
          </cell>
          <cell r="DM42">
            <v>1.1000000000000001</v>
          </cell>
          <cell r="DN42">
            <v>1.2</v>
          </cell>
          <cell r="DO42">
            <v>1.3</v>
          </cell>
          <cell r="DP42">
            <v>0</v>
          </cell>
          <cell r="DQ42">
            <v>1</v>
          </cell>
          <cell r="DR42">
            <v>0</v>
          </cell>
          <cell r="DS42">
            <v>1</v>
          </cell>
          <cell r="DT42">
            <v>0</v>
          </cell>
          <cell r="DU42">
            <v>1</v>
          </cell>
          <cell r="DV42">
            <v>1.1000000000000001</v>
          </cell>
          <cell r="DW42">
            <v>1.2</v>
          </cell>
          <cell r="DX42">
            <v>1.3</v>
          </cell>
          <cell r="DY42" t="str">
            <v>--</v>
          </cell>
          <cell r="DZ42" t="str">
            <v>--</v>
          </cell>
          <cell r="EA42" t="str">
            <v>--</v>
          </cell>
          <cell r="EB42" t="str">
            <v>--</v>
          </cell>
          <cell r="EC42" t="str">
            <v>--</v>
          </cell>
          <cell r="ED42" t="str">
            <v>--</v>
          </cell>
          <cell r="EE42" t="str">
            <v>--</v>
          </cell>
          <cell r="EF42" t="str">
            <v>--</v>
          </cell>
          <cell r="EG42" t="str">
            <v>--</v>
          </cell>
        </row>
        <row r="43">
          <cell r="A43" t="str">
            <v>00350180Low income</v>
          </cell>
          <cell r="B43" t="str">
            <v>00350180F</v>
          </cell>
          <cell r="C43" t="str">
            <v>0035</v>
          </cell>
          <cell r="D43" t="str">
            <v>00350180</v>
          </cell>
          <cell r="E43" t="str">
            <v>Boston</v>
          </cell>
          <cell r="F43" t="str">
            <v>John Winthrop</v>
          </cell>
          <cell r="G43" t="str">
            <v>ES</v>
          </cell>
          <cell r="H43" t="str">
            <v>Boston - John Winthrop (00350180)</v>
          </cell>
          <cell r="I43" t="str">
            <v>Low income</v>
          </cell>
          <cell r="J43" t="str">
            <v>00350180Low income</v>
          </cell>
          <cell r="K43" t="str">
            <v>--</v>
          </cell>
          <cell r="L43">
            <v>67.599999999999994</v>
          </cell>
          <cell r="M43">
            <v>70.3</v>
          </cell>
          <cell r="N43">
            <v>56.9</v>
          </cell>
          <cell r="O43">
            <v>73</v>
          </cell>
          <cell r="P43">
            <v>56.6</v>
          </cell>
          <cell r="Q43">
            <v>75.7</v>
          </cell>
          <cell r="R43">
            <v>78.400000000000006</v>
          </cell>
          <cell r="S43">
            <v>81.099999999999994</v>
          </cell>
          <cell r="T43">
            <v>83.8</v>
          </cell>
          <cell r="U43">
            <v>63.6</v>
          </cell>
          <cell r="V43">
            <v>66.599999999999994</v>
          </cell>
          <cell r="W43">
            <v>56.2</v>
          </cell>
          <cell r="X43">
            <v>69.7</v>
          </cell>
          <cell r="Y43">
            <v>52.7</v>
          </cell>
          <cell r="Z43">
            <v>72.7</v>
          </cell>
          <cell r="AA43">
            <v>75.7</v>
          </cell>
          <cell r="AB43">
            <v>78.8</v>
          </cell>
          <cell r="AC43">
            <v>81.8</v>
          </cell>
          <cell r="AD43">
            <v>43.1</v>
          </cell>
          <cell r="AE43">
            <v>47.8</v>
          </cell>
          <cell r="AF43">
            <v>33</v>
          </cell>
          <cell r="AG43">
            <v>52.6</v>
          </cell>
          <cell r="AH43">
            <v>50</v>
          </cell>
          <cell r="AI43">
            <v>57.3</v>
          </cell>
          <cell r="AJ43">
            <v>62.1</v>
          </cell>
          <cell r="AK43">
            <v>66.8</v>
          </cell>
          <cell r="AL43">
            <v>71.599999999999994</v>
          </cell>
          <cell r="AM43" t="str">
            <v>--</v>
          </cell>
          <cell r="AN43" t="str">
            <v>--</v>
          </cell>
          <cell r="AO43" t="str">
            <v>--</v>
          </cell>
          <cell r="AP43" t="str">
            <v>--</v>
          </cell>
          <cell r="AQ43" t="str">
            <v>--</v>
          </cell>
          <cell r="AR43" t="str">
            <v>--</v>
          </cell>
          <cell r="AS43" t="str">
            <v>--</v>
          </cell>
          <cell r="AT43" t="str">
            <v>--</v>
          </cell>
          <cell r="AU43" t="str">
            <v>--</v>
          </cell>
          <cell r="AV43" t="str">
            <v>--</v>
          </cell>
          <cell r="AW43" t="str">
            <v>--</v>
          </cell>
          <cell r="AX43" t="str">
            <v>--</v>
          </cell>
          <cell r="AY43" t="str">
            <v>--</v>
          </cell>
          <cell r="AZ43" t="str">
            <v>--</v>
          </cell>
          <cell r="BA43" t="str">
            <v>--</v>
          </cell>
          <cell r="BB43" t="str">
            <v>--</v>
          </cell>
          <cell r="BC43" t="str">
            <v>--</v>
          </cell>
          <cell r="BD43" t="str">
            <v>--</v>
          </cell>
          <cell r="BE43" t="str">
            <v>--</v>
          </cell>
          <cell r="BF43" t="str">
            <v>--</v>
          </cell>
          <cell r="BG43" t="str">
            <v>--</v>
          </cell>
          <cell r="BH43" t="str">
            <v>--</v>
          </cell>
          <cell r="BI43" t="str">
            <v>--</v>
          </cell>
          <cell r="BJ43" t="str">
            <v>--</v>
          </cell>
          <cell r="BK43" t="str">
            <v>--</v>
          </cell>
          <cell r="BL43" t="str">
            <v>--</v>
          </cell>
          <cell r="BM43" t="str">
            <v>--</v>
          </cell>
          <cell r="BN43">
            <v>51</v>
          </cell>
          <cell r="BO43">
            <v>51</v>
          </cell>
          <cell r="BP43">
            <v>29</v>
          </cell>
          <cell r="BQ43">
            <v>39</v>
          </cell>
          <cell r="BR43">
            <v>31</v>
          </cell>
          <cell r="BS43">
            <v>41</v>
          </cell>
          <cell r="BT43">
            <v>51</v>
          </cell>
          <cell r="BU43">
            <v>51</v>
          </cell>
          <cell r="BV43">
            <v>51</v>
          </cell>
          <cell r="BW43">
            <v>56.5</v>
          </cell>
          <cell r="BX43">
            <v>51</v>
          </cell>
          <cell r="BY43">
            <v>31</v>
          </cell>
          <cell r="BZ43">
            <v>41</v>
          </cell>
          <cell r="CA43">
            <v>33</v>
          </cell>
          <cell r="CB43">
            <v>43</v>
          </cell>
          <cell r="CC43">
            <v>51</v>
          </cell>
          <cell r="CD43">
            <v>51</v>
          </cell>
          <cell r="CE43">
            <v>51</v>
          </cell>
          <cell r="CF43">
            <v>14.7</v>
          </cell>
          <cell r="CG43">
            <v>13.2</v>
          </cell>
          <cell r="CH43">
            <v>30.7</v>
          </cell>
          <cell r="CI43">
            <v>27.6</v>
          </cell>
          <cell r="CJ43">
            <v>31</v>
          </cell>
          <cell r="CK43">
            <v>27.9</v>
          </cell>
          <cell r="CL43">
            <v>25.1</v>
          </cell>
          <cell r="CM43">
            <v>22.6</v>
          </cell>
          <cell r="CN43">
            <v>20.3</v>
          </cell>
          <cell r="CO43">
            <v>25.7</v>
          </cell>
          <cell r="CP43">
            <v>23.1</v>
          </cell>
          <cell r="CQ43">
            <v>32.700000000000003</v>
          </cell>
          <cell r="CR43">
            <v>29.4</v>
          </cell>
          <cell r="CS43">
            <v>38</v>
          </cell>
          <cell r="CT43">
            <v>34.200000000000003</v>
          </cell>
          <cell r="CU43">
            <v>30.8</v>
          </cell>
          <cell r="CV43">
            <v>27.7</v>
          </cell>
          <cell r="CW43">
            <v>24.9</v>
          </cell>
          <cell r="CX43">
            <v>52.8</v>
          </cell>
          <cell r="CY43">
            <v>47.5</v>
          </cell>
          <cell r="CZ43">
            <v>72</v>
          </cell>
          <cell r="DA43">
            <v>64.8</v>
          </cell>
          <cell r="DB43">
            <v>36.6</v>
          </cell>
          <cell r="DC43">
            <v>32.9</v>
          </cell>
          <cell r="DD43">
            <v>29.6</v>
          </cell>
          <cell r="DE43">
            <v>26.7</v>
          </cell>
          <cell r="DF43">
            <v>24</v>
          </cell>
          <cell r="DG43">
            <v>2</v>
          </cell>
          <cell r="DH43">
            <v>2.2000000000000002</v>
          </cell>
          <cell r="DI43">
            <v>1</v>
          </cell>
          <cell r="DJ43">
            <v>1.1000000000000001</v>
          </cell>
          <cell r="DK43">
            <v>0.8</v>
          </cell>
          <cell r="DL43">
            <v>0.9</v>
          </cell>
          <cell r="DM43">
            <v>1</v>
          </cell>
          <cell r="DN43">
            <v>1.1000000000000001</v>
          </cell>
          <cell r="DO43">
            <v>1.2</v>
          </cell>
          <cell r="DP43">
            <v>2</v>
          </cell>
          <cell r="DQ43">
            <v>2.2000000000000002</v>
          </cell>
          <cell r="DR43">
            <v>2</v>
          </cell>
          <cell r="DS43">
            <v>2.2000000000000002</v>
          </cell>
          <cell r="DT43">
            <v>3.9</v>
          </cell>
          <cell r="DU43">
            <v>4.3</v>
          </cell>
          <cell r="DV43">
            <v>4.7</v>
          </cell>
          <cell r="DW43">
            <v>5.2</v>
          </cell>
          <cell r="DX43">
            <v>5.7</v>
          </cell>
          <cell r="DY43">
            <v>0</v>
          </cell>
          <cell r="DZ43">
            <v>1</v>
          </cell>
          <cell r="EA43">
            <v>0</v>
          </cell>
          <cell r="EB43">
            <v>1</v>
          </cell>
          <cell r="EC43">
            <v>0</v>
          </cell>
          <cell r="ED43">
            <v>1</v>
          </cell>
          <cell r="EE43">
            <v>1.1000000000000001</v>
          </cell>
          <cell r="EF43">
            <v>1.2</v>
          </cell>
          <cell r="EG43">
            <v>1.3</v>
          </cell>
        </row>
        <row r="44">
          <cell r="A44" t="str">
            <v>00350180Hispanic/Latino</v>
          </cell>
          <cell r="B44" t="str">
            <v>00350180H</v>
          </cell>
          <cell r="C44" t="str">
            <v>0035</v>
          </cell>
          <cell r="D44" t="str">
            <v>00350180</v>
          </cell>
          <cell r="E44" t="str">
            <v>Boston</v>
          </cell>
          <cell r="F44" t="str">
            <v>John Winthrop</v>
          </cell>
          <cell r="G44" t="str">
            <v>ES</v>
          </cell>
          <cell r="H44" t="str">
            <v>Boston - John Winthrop (00350180)</v>
          </cell>
          <cell r="I44" t="str">
            <v>Hispanic/Latino</v>
          </cell>
          <cell r="J44" t="str">
            <v>00350180Hispanic/Latino</v>
          </cell>
          <cell r="K44" t="str">
            <v>--</v>
          </cell>
          <cell r="L44">
            <v>68.5</v>
          </cell>
          <cell r="M44">
            <v>71.099999999999994</v>
          </cell>
          <cell r="N44">
            <v>59.1</v>
          </cell>
          <cell r="O44">
            <v>73.8</v>
          </cell>
          <cell r="P44">
            <v>52.9</v>
          </cell>
          <cell r="Q44">
            <v>76.400000000000006</v>
          </cell>
          <cell r="R44">
            <v>79</v>
          </cell>
          <cell r="S44">
            <v>81.599999999999994</v>
          </cell>
          <cell r="T44">
            <v>84.3</v>
          </cell>
          <cell r="U44">
            <v>63.4</v>
          </cell>
          <cell r="V44">
            <v>66.5</v>
          </cell>
          <cell r="W44">
            <v>55.1</v>
          </cell>
          <cell r="X44">
            <v>69.5</v>
          </cell>
          <cell r="Y44">
            <v>51.3</v>
          </cell>
          <cell r="Z44">
            <v>72.599999999999994</v>
          </cell>
          <cell r="AA44">
            <v>75.599999999999994</v>
          </cell>
          <cell r="AB44">
            <v>78.7</v>
          </cell>
          <cell r="AC44">
            <v>81.7</v>
          </cell>
          <cell r="AD44" t="str">
            <v>--</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t="str">
            <v>--</v>
          </cell>
          <cell r="BF44" t="str">
            <v>--</v>
          </cell>
          <cell r="BG44" t="str">
            <v>--</v>
          </cell>
          <cell r="BH44" t="str">
            <v>--</v>
          </cell>
          <cell r="BI44" t="str">
            <v>--</v>
          </cell>
          <cell r="BJ44" t="str">
            <v>--</v>
          </cell>
          <cell r="BK44" t="str">
            <v>--</v>
          </cell>
          <cell r="BL44" t="str">
            <v>--</v>
          </cell>
          <cell r="BM44" t="str">
            <v>--</v>
          </cell>
          <cell r="BN44">
            <v>37</v>
          </cell>
          <cell r="BO44">
            <v>47</v>
          </cell>
          <cell r="BP44">
            <v>26</v>
          </cell>
          <cell r="BQ44" t="str">
            <v>--</v>
          </cell>
          <cell r="BR44">
            <v>31</v>
          </cell>
          <cell r="BS44">
            <v>41</v>
          </cell>
          <cell r="BT44">
            <v>51</v>
          </cell>
          <cell r="BU44">
            <v>51</v>
          </cell>
          <cell r="BV44">
            <v>51</v>
          </cell>
          <cell r="BW44">
            <v>54</v>
          </cell>
          <cell r="BX44">
            <v>51</v>
          </cell>
          <cell r="BY44">
            <v>29</v>
          </cell>
          <cell r="BZ44" t="str">
            <v>--</v>
          </cell>
          <cell r="CA44">
            <v>34</v>
          </cell>
          <cell r="CB44">
            <v>44</v>
          </cell>
          <cell r="CC44">
            <v>51</v>
          </cell>
          <cell r="CD44">
            <v>51</v>
          </cell>
          <cell r="CE44">
            <v>51</v>
          </cell>
          <cell r="CF44">
            <v>16.7</v>
          </cell>
          <cell r="CG44">
            <v>15</v>
          </cell>
          <cell r="CH44">
            <v>34.1</v>
          </cell>
          <cell r="CI44">
            <v>30.7</v>
          </cell>
          <cell r="CJ44">
            <v>31.7</v>
          </cell>
          <cell r="CK44">
            <v>28.5</v>
          </cell>
          <cell r="CL44">
            <v>25.7</v>
          </cell>
          <cell r="CM44">
            <v>23.1</v>
          </cell>
          <cell r="CN44">
            <v>20.8</v>
          </cell>
          <cell r="CO44">
            <v>26.8</v>
          </cell>
          <cell r="CP44">
            <v>24.1</v>
          </cell>
          <cell r="CQ44">
            <v>40.9</v>
          </cell>
          <cell r="CR44">
            <v>36.799999999999997</v>
          </cell>
          <cell r="CS44">
            <v>41.7</v>
          </cell>
          <cell r="CT44">
            <v>37.5</v>
          </cell>
          <cell r="CU44">
            <v>33.799999999999997</v>
          </cell>
          <cell r="CV44">
            <v>30.4</v>
          </cell>
          <cell r="CW44">
            <v>27.4</v>
          </cell>
          <cell r="CX44" t="str">
            <v>--</v>
          </cell>
          <cell r="CY44" t="str">
            <v>--</v>
          </cell>
          <cell r="CZ44" t="str">
            <v>--</v>
          </cell>
          <cell r="DA44" t="str">
            <v>--</v>
          </cell>
          <cell r="DB44" t="str">
            <v>--</v>
          </cell>
          <cell r="DC44" t="str">
            <v>--</v>
          </cell>
          <cell r="DD44" t="str">
            <v>--</v>
          </cell>
          <cell r="DE44" t="str">
            <v>--</v>
          </cell>
          <cell r="DF44" t="str">
            <v>--</v>
          </cell>
          <cell r="DG44">
            <v>2.4</v>
          </cell>
          <cell r="DH44">
            <v>2.6</v>
          </cell>
          <cell r="DI44">
            <v>0</v>
          </cell>
          <cell r="DJ44">
            <v>1</v>
          </cell>
          <cell r="DK44">
            <v>0</v>
          </cell>
          <cell r="DL44">
            <v>1</v>
          </cell>
          <cell r="DM44">
            <v>1.1000000000000001</v>
          </cell>
          <cell r="DN44">
            <v>1.2</v>
          </cell>
          <cell r="DO44">
            <v>1.3</v>
          </cell>
          <cell r="DP44">
            <v>0</v>
          </cell>
          <cell r="DQ44">
            <v>1</v>
          </cell>
          <cell r="DR44">
            <v>2.2999999999999998</v>
          </cell>
          <cell r="DS44">
            <v>2.5</v>
          </cell>
          <cell r="DT44">
            <v>1.7</v>
          </cell>
          <cell r="DU44">
            <v>1.9</v>
          </cell>
          <cell r="DV44">
            <v>2.1</v>
          </cell>
          <cell r="DW44">
            <v>2.2999999999999998</v>
          </cell>
          <cell r="DX44">
            <v>2.5</v>
          </cell>
          <cell r="DY44" t="str">
            <v>--</v>
          </cell>
          <cell r="DZ44" t="str">
            <v>--</v>
          </cell>
          <cell r="EA44" t="str">
            <v>--</v>
          </cell>
          <cell r="EB44" t="str">
            <v>--</v>
          </cell>
          <cell r="EC44" t="str">
            <v>--</v>
          </cell>
          <cell r="ED44" t="str">
            <v>--</v>
          </cell>
          <cell r="EE44" t="str">
            <v>--</v>
          </cell>
          <cell r="EF44" t="str">
            <v>--</v>
          </cell>
          <cell r="EG44" t="str">
            <v>--</v>
          </cell>
        </row>
        <row r="45">
          <cell r="A45" t="str">
            <v>00350180ELL and Former ELL</v>
          </cell>
          <cell r="B45" t="str">
            <v>00350180L</v>
          </cell>
          <cell r="C45" t="str">
            <v>0035</v>
          </cell>
          <cell r="D45" t="str">
            <v>00350180</v>
          </cell>
          <cell r="E45" t="str">
            <v>Boston</v>
          </cell>
          <cell r="F45" t="str">
            <v>John Winthrop</v>
          </cell>
          <cell r="G45" t="str">
            <v>ES</v>
          </cell>
          <cell r="H45" t="str">
            <v>Boston - John Winthrop (00350180)</v>
          </cell>
          <cell r="I45" t="str">
            <v>ELL and Former ELL</v>
          </cell>
          <cell r="J45" t="str">
            <v>00350180ELL and Former ELL</v>
          </cell>
          <cell r="K45" t="str">
            <v>--</v>
          </cell>
          <cell r="L45">
            <v>69.3</v>
          </cell>
          <cell r="M45">
            <v>71.900000000000006</v>
          </cell>
          <cell r="N45">
            <v>59.9</v>
          </cell>
          <cell r="O45">
            <v>74.400000000000006</v>
          </cell>
          <cell r="P45">
            <v>51.9</v>
          </cell>
          <cell r="Q45">
            <v>77</v>
          </cell>
          <cell r="R45">
            <v>79.5</v>
          </cell>
          <cell r="S45">
            <v>82.1</v>
          </cell>
          <cell r="T45">
            <v>84.7</v>
          </cell>
          <cell r="U45">
            <v>70</v>
          </cell>
          <cell r="V45">
            <v>72.5</v>
          </cell>
          <cell r="W45">
            <v>59.3</v>
          </cell>
          <cell r="X45">
            <v>75</v>
          </cell>
          <cell r="Y45">
            <v>52.8</v>
          </cell>
          <cell r="Z45">
            <v>77.5</v>
          </cell>
          <cell r="AA45">
            <v>80</v>
          </cell>
          <cell r="AB45">
            <v>82.5</v>
          </cell>
          <cell r="AC45">
            <v>85</v>
          </cell>
          <cell r="AD45" t="str">
            <v>--</v>
          </cell>
          <cell r="AE45" t="str">
            <v>--</v>
          </cell>
          <cell r="AF45" t="str">
            <v>--</v>
          </cell>
          <cell r="AG45" t="str">
            <v>--</v>
          </cell>
          <cell r="AH45" t="str">
            <v>--</v>
          </cell>
          <cell r="AI45" t="str">
            <v>--</v>
          </cell>
          <cell r="AJ45" t="str">
            <v>--</v>
          </cell>
          <cell r="AK45" t="str">
            <v>--</v>
          </cell>
          <cell r="AL45" t="str">
            <v>--</v>
          </cell>
          <cell r="AM45" t="str">
            <v>--</v>
          </cell>
          <cell r="AN45" t="str">
            <v>--</v>
          </cell>
          <cell r="AO45" t="str">
            <v>--</v>
          </cell>
          <cell r="AP45" t="str">
            <v>--</v>
          </cell>
          <cell r="AQ45" t="str">
            <v>--</v>
          </cell>
          <cell r="AR45" t="str">
            <v>--</v>
          </cell>
          <cell r="AS45" t="str">
            <v>--</v>
          </cell>
          <cell r="AT45" t="str">
            <v>--</v>
          </cell>
          <cell r="AU45" t="str">
            <v>--</v>
          </cell>
          <cell r="AV45" t="str">
            <v>--</v>
          </cell>
          <cell r="AW45" t="str">
            <v>--</v>
          </cell>
          <cell r="AX45" t="str">
            <v>--</v>
          </cell>
          <cell r="AY45" t="str">
            <v>--</v>
          </cell>
          <cell r="AZ45" t="str">
            <v>--</v>
          </cell>
          <cell r="BA45" t="str">
            <v>--</v>
          </cell>
          <cell r="BB45" t="str">
            <v>--</v>
          </cell>
          <cell r="BC45" t="str">
            <v>--</v>
          </cell>
          <cell r="BD45" t="str">
            <v>--</v>
          </cell>
          <cell r="BE45" t="str">
            <v>--</v>
          </cell>
          <cell r="BF45" t="str">
            <v>--</v>
          </cell>
          <cell r="BG45" t="str">
            <v>--</v>
          </cell>
          <cell r="BH45" t="str">
            <v>--</v>
          </cell>
          <cell r="BI45" t="str">
            <v>--</v>
          </cell>
          <cell r="BJ45" t="str">
            <v>--</v>
          </cell>
          <cell r="BK45" t="str">
            <v>--</v>
          </cell>
          <cell r="BL45" t="str">
            <v>--</v>
          </cell>
          <cell r="BM45" t="str">
            <v>--</v>
          </cell>
          <cell r="BN45">
            <v>57</v>
          </cell>
          <cell r="BO45">
            <v>51</v>
          </cell>
          <cell r="BP45">
            <v>44</v>
          </cell>
          <cell r="BQ45" t="str">
            <v>--</v>
          </cell>
          <cell r="BR45">
            <v>31</v>
          </cell>
          <cell r="BS45">
            <v>41</v>
          </cell>
          <cell r="BT45">
            <v>51</v>
          </cell>
          <cell r="BU45">
            <v>51</v>
          </cell>
          <cell r="BV45">
            <v>51</v>
          </cell>
          <cell r="BW45">
            <v>75.5</v>
          </cell>
          <cell r="BX45">
            <v>51</v>
          </cell>
          <cell r="BY45">
            <v>30.5</v>
          </cell>
          <cell r="BZ45" t="str">
            <v>--</v>
          </cell>
          <cell r="CA45">
            <v>35.5</v>
          </cell>
          <cell r="CB45">
            <v>45.5</v>
          </cell>
          <cell r="CC45">
            <v>51</v>
          </cell>
          <cell r="CD45">
            <v>51</v>
          </cell>
          <cell r="CE45">
            <v>51</v>
          </cell>
          <cell r="CF45">
            <v>8.6</v>
          </cell>
          <cell r="CG45">
            <v>7.7</v>
          </cell>
          <cell r="CH45">
            <v>27.9</v>
          </cell>
          <cell r="CI45">
            <v>25.1</v>
          </cell>
          <cell r="CJ45">
            <v>37.700000000000003</v>
          </cell>
          <cell r="CK45">
            <v>33.9</v>
          </cell>
          <cell r="CL45">
            <v>30.5</v>
          </cell>
          <cell r="CM45">
            <v>27.5</v>
          </cell>
          <cell r="CN45">
            <v>24.7</v>
          </cell>
          <cell r="CO45">
            <v>17.100000000000001</v>
          </cell>
          <cell r="CP45">
            <v>15.4</v>
          </cell>
          <cell r="CQ45">
            <v>30.2</v>
          </cell>
          <cell r="CR45">
            <v>27.2</v>
          </cell>
          <cell r="CS45">
            <v>43.4</v>
          </cell>
          <cell r="CT45">
            <v>39.1</v>
          </cell>
          <cell r="CU45">
            <v>35.200000000000003</v>
          </cell>
          <cell r="CV45">
            <v>31.6</v>
          </cell>
          <cell r="CW45">
            <v>28.5</v>
          </cell>
          <cell r="CX45" t="str">
            <v>--</v>
          </cell>
          <cell r="CY45" t="str">
            <v>--</v>
          </cell>
          <cell r="CZ45" t="str">
            <v>--</v>
          </cell>
          <cell r="DA45" t="str">
            <v>--</v>
          </cell>
          <cell r="DB45" t="str">
            <v>--</v>
          </cell>
          <cell r="DC45" t="str">
            <v>--</v>
          </cell>
          <cell r="DD45" t="str">
            <v>--</v>
          </cell>
          <cell r="DE45" t="str">
            <v>--</v>
          </cell>
          <cell r="DF45" t="str">
            <v>--</v>
          </cell>
          <cell r="DG45">
            <v>5.7</v>
          </cell>
          <cell r="DH45">
            <v>6.3</v>
          </cell>
          <cell r="DI45">
            <v>0</v>
          </cell>
          <cell r="DJ45">
            <v>1</v>
          </cell>
          <cell r="DK45">
            <v>0</v>
          </cell>
          <cell r="DL45">
            <v>1</v>
          </cell>
          <cell r="DM45">
            <v>1.1000000000000001</v>
          </cell>
          <cell r="DN45">
            <v>1.2</v>
          </cell>
          <cell r="DO45">
            <v>1.3</v>
          </cell>
          <cell r="DP45">
            <v>2.9</v>
          </cell>
          <cell r="DQ45">
            <v>3.2</v>
          </cell>
          <cell r="DR45">
            <v>2.2999999999999998</v>
          </cell>
          <cell r="DS45">
            <v>2.5</v>
          </cell>
          <cell r="DT45">
            <v>3.8</v>
          </cell>
          <cell r="DU45">
            <v>4.2</v>
          </cell>
          <cell r="DV45">
            <v>4.5999999999999996</v>
          </cell>
          <cell r="DW45">
            <v>5.0999999999999996</v>
          </cell>
          <cell r="DX45">
            <v>5.6</v>
          </cell>
          <cell r="DY45" t="str">
            <v>--</v>
          </cell>
          <cell r="DZ45" t="str">
            <v>--</v>
          </cell>
          <cell r="EA45" t="str">
            <v>--</v>
          </cell>
          <cell r="EB45" t="str">
            <v>--</v>
          </cell>
          <cell r="EC45" t="str">
            <v>--</v>
          </cell>
          <cell r="ED45" t="str">
            <v>--</v>
          </cell>
          <cell r="EE45" t="str">
            <v>--</v>
          </cell>
          <cell r="EF45" t="str">
            <v>--</v>
          </cell>
          <cell r="EG45" t="str">
            <v>--</v>
          </cell>
        </row>
        <row r="46">
          <cell r="A46" t="str">
            <v>00350180Multi-race, Non-Hisp./Lat.</v>
          </cell>
          <cell r="B46" t="str">
            <v>00350180M</v>
          </cell>
          <cell r="C46" t="str">
            <v>0035</v>
          </cell>
          <cell r="D46" t="str">
            <v>00350180</v>
          </cell>
          <cell r="E46" t="str">
            <v>Boston</v>
          </cell>
          <cell r="F46" t="str">
            <v>John Winthrop</v>
          </cell>
          <cell r="G46" t="str">
            <v>ES</v>
          </cell>
          <cell r="H46" t="str">
            <v>Boston - John Winthrop (00350180)</v>
          </cell>
          <cell r="I46" t="str">
            <v>Multi-race, Non-Hisp./Lat.</v>
          </cell>
          <cell r="J46" t="str">
            <v>00350180Multi-race, Non-Hisp./Lat.</v>
          </cell>
          <cell r="K46" t="str">
            <v>Level 3</v>
          </cell>
          <cell r="L46" t="str">
            <v>--</v>
          </cell>
          <cell r="M46" t="str">
            <v>--</v>
          </cell>
          <cell r="N46" t="str">
            <v>--</v>
          </cell>
          <cell r="O46" t="str">
            <v>--</v>
          </cell>
          <cell r="P46" t="str">
            <v>--</v>
          </cell>
          <cell r="Q46" t="str">
            <v>--</v>
          </cell>
          <cell r="R46" t="str">
            <v>--</v>
          </cell>
          <cell r="S46" t="str">
            <v>--</v>
          </cell>
          <cell r="T46" t="str">
            <v>--</v>
          </cell>
          <cell r="U46" t="str">
            <v>--</v>
          </cell>
          <cell r="V46" t="str">
            <v>--</v>
          </cell>
          <cell r="W46" t="str">
            <v>--</v>
          </cell>
          <cell r="X46" t="str">
            <v>--</v>
          </cell>
          <cell r="Y46" t="str">
            <v>--</v>
          </cell>
          <cell r="Z46" t="str">
            <v>--</v>
          </cell>
          <cell r="AA46" t="str">
            <v>--</v>
          </cell>
          <cell r="AB46" t="str">
            <v>--</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t="str">
            <v>--</v>
          </cell>
          <cell r="AQ46" t="str">
            <v>--</v>
          </cell>
          <cell r="AR46" t="str">
            <v>--</v>
          </cell>
          <cell r="AS46" t="str">
            <v>--</v>
          </cell>
          <cell r="AT46" t="str">
            <v>--</v>
          </cell>
          <cell r="AU46" t="str">
            <v>--</v>
          </cell>
          <cell r="AV46" t="str">
            <v>--</v>
          </cell>
          <cell r="AW46" t="str">
            <v>--</v>
          </cell>
          <cell r="AX46" t="str">
            <v>--</v>
          </cell>
          <cell r="AY46" t="str">
            <v>--</v>
          </cell>
          <cell r="AZ46" t="str">
            <v>--</v>
          </cell>
          <cell r="BA46" t="str">
            <v>--</v>
          </cell>
          <cell r="BB46" t="str">
            <v>--</v>
          </cell>
          <cell r="BC46" t="str">
            <v>--</v>
          </cell>
          <cell r="BD46" t="str">
            <v>--</v>
          </cell>
          <cell r="BE46" t="str">
            <v>--</v>
          </cell>
          <cell r="BF46" t="str">
            <v>--</v>
          </cell>
          <cell r="BG46" t="str">
            <v>--</v>
          </cell>
          <cell r="BH46" t="str">
            <v>--</v>
          </cell>
          <cell r="BI46" t="str">
            <v>--</v>
          </cell>
          <cell r="BJ46" t="str">
            <v>--</v>
          </cell>
          <cell r="BK46" t="str">
            <v>--</v>
          </cell>
          <cell r="BL46" t="str">
            <v>--</v>
          </cell>
          <cell r="BM46" t="str">
            <v>--</v>
          </cell>
          <cell r="BN46" t="str">
            <v>--</v>
          </cell>
          <cell r="BO46" t="str">
            <v>--</v>
          </cell>
          <cell r="BP46" t="str">
            <v>--</v>
          </cell>
          <cell r="BQ46" t="str">
            <v>--</v>
          </cell>
          <cell r="BR46" t="str">
            <v>--</v>
          </cell>
          <cell r="BS46" t="str">
            <v>--</v>
          </cell>
          <cell r="BT46" t="str">
            <v>--</v>
          </cell>
          <cell r="BU46" t="str">
            <v>--</v>
          </cell>
          <cell r="BV46" t="str">
            <v>--</v>
          </cell>
          <cell r="BW46" t="str">
            <v>--</v>
          </cell>
          <cell r="BX46" t="str">
            <v>--</v>
          </cell>
          <cell r="BY46" t="str">
            <v>--</v>
          </cell>
          <cell r="BZ46" t="str">
            <v>--</v>
          </cell>
          <cell r="CA46" t="str">
            <v>--</v>
          </cell>
          <cell r="CB46" t="str">
            <v>--</v>
          </cell>
          <cell r="CC46" t="str">
            <v>--</v>
          </cell>
          <cell r="CD46" t="str">
            <v>--</v>
          </cell>
          <cell r="CE46" t="str">
            <v>--</v>
          </cell>
          <cell r="CF46" t="str">
            <v>--</v>
          </cell>
          <cell r="CG46" t="str">
            <v>--</v>
          </cell>
          <cell r="CH46" t="str">
            <v>--</v>
          </cell>
          <cell r="CI46" t="str">
            <v>--</v>
          </cell>
          <cell r="CJ46" t="str">
            <v>--</v>
          </cell>
          <cell r="CK46" t="str">
            <v>--</v>
          </cell>
          <cell r="CL46" t="str">
            <v>--</v>
          </cell>
          <cell r="CM46" t="str">
            <v>--</v>
          </cell>
          <cell r="CN46" t="str">
            <v>--</v>
          </cell>
          <cell r="CO46" t="str">
            <v>--</v>
          </cell>
          <cell r="CP46" t="str">
            <v>--</v>
          </cell>
          <cell r="CQ46" t="str">
            <v>--</v>
          </cell>
          <cell r="CR46" t="str">
            <v>--</v>
          </cell>
          <cell r="CS46" t="str">
            <v>--</v>
          </cell>
          <cell r="CT46" t="str">
            <v>--</v>
          </cell>
          <cell r="CU46" t="str">
            <v>--</v>
          </cell>
          <cell r="CV46" t="str">
            <v>--</v>
          </cell>
          <cell r="CW46" t="str">
            <v>--</v>
          </cell>
          <cell r="CX46" t="str">
            <v>--</v>
          </cell>
          <cell r="CY46" t="str">
            <v>--</v>
          </cell>
          <cell r="CZ46" t="str">
            <v>--</v>
          </cell>
          <cell r="DA46" t="str">
            <v>--</v>
          </cell>
          <cell r="DB46" t="str">
            <v>--</v>
          </cell>
          <cell r="DC46" t="str">
            <v>--</v>
          </cell>
          <cell r="DD46" t="str">
            <v>--</v>
          </cell>
          <cell r="DE46" t="str">
            <v>--</v>
          </cell>
          <cell r="DF46" t="str">
            <v>--</v>
          </cell>
          <cell r="DG46" t="str">
            <v>--</v>
          </cell>
          <cell r="DH46" t="str">
            <v>--</v>
          </cell>
          <cell r="DI46" t="str">
            <v>--</v>
          </cell>
          <cell r="DJ46" t="str">
            <v>--</v>
          </cell>
          <cell r="DK46" t="str">
            <v>--</v>
          </cell>
          <cell r="DL46" t="str">
            <v>--</v>
          </cell>
          <cell r="DM46" t="str">
            <v>--</v>
          </cell>
          <cell r="DN46" t="str">
            <v>--</v>
          </cell>
          <cell r="DO46" t="str">
            <v>--</v>
          </cell>
          <cell r="DP46" t="str">
            <v>--</v>
          </cell>
          <cell r="DQ46" t="str">
            <v>--</v>
          </cell>
          <cell r="DR46" t="str">
            <v>--</v>
          </cell>
          <cell r="DS46" t="str">
            <v>--</v>
          </cell>
          <cell r="DT46" t="str">
            <v>--</v>
          </cell>
          <cell r="DU46" t="str">
            <v>--</v>
          </cell>
          <cell r="DV46" t="str">
            <v>--</v>
          </cell>
          <cell r="DW46" t="str">
            <v>--</v>
          </cell>
          <cell r="DX46" t="str">
            <v>--</v>
          </cell>
          <cell r="DY46" t="str">
            <v>--</v>
          </cell>
          <cell r="DZ46" t="str">
            <v>--</v>
          </cell>
          <cell r="EA46" t="str">
            <v>--</v>
          </cell>
          <cell r="EB46" t="str">
            <v>--</v>
          </cell>
          <cell r="EC46" t="str">
            <v>--</v>
          </cell>
          <cell r="ED46" t="str">
            <v>--</v>
          </cell>
          <cell r="EE46" t="str">
            <v>--</v>
          </cell>
          <cell r="EF46" t="str">
            <v>--</v>
          </cell>
          <cell r="EG46" t="str">
            <v>--</v>
          </cell>
        </row>
        <row r="47">
          <cell r="A47" t="str">
            <v>00350180Amer. Ind. or Alaska Nat.</v>
          </cell>
          <cell r="B47" t="str">
            <v>00350180N</v>
          </cell>
          <cell r="C47" t="str">
            <v>0035</v>
          </cell>
          <cell r="D47" t="str">
            <v>00350180</v>
          </cell>
          <cell r="E47" t="str">
            <v>Boston</v>
          </cell>
          <cell r="F47" t="str">
            <v>John Winthrop</v>
          </cell>
          <cell r="G47" t="str">
            <v>ES</v>
          </cell>
          <cell r="H47" t="str">
            <v>Boston - John Winthrop (00350180)</v>
          </cell>
          <cell r="I47" t="str">
            <v>Amer. Ind. or Alaska Nat.</v>
          </cell>
          <cell r="J47" t="str">
            <v>00350180Amer. Ind. or Alaska Nat.</v>
          </cell>
          <cell r="K47" t="str">
            <v>--</v>
          </cell>
          <cell r="L47" t="str">
            <v>--</v>
          </cell>
          <cell r="M47" t="str">
            <v>--</v>
          </cell>
          <cell r="N47" t="str">
            <v>--</v>
          </cell>
          <cell r="O47" t="str">
            <v>--</v>
          </cell>
          <cell r="P47" t="str">
            <v>--</v>
          </cell>
          <cell r="Q47" t="str">
            <v>--</v>
          </cell>
          <cell r="R47" t="str">
            <v>--</v>
          </cell>
          <cell r="S47" t="str">
            <v>--</v>
          </cell>
          <cell r="T47" t="str">
            <v>--</v>
          </cell>
          <cell r="U47" t="str">
            <v>--</v>
          </cell>
          <cell r="V47" t="str">
            <v>--</v>
          </cell>
          <cell r="W47" t="str">
            <v>--</v>
          </cell>
          <cell r="X47" t="str">
            <v>--</v>
          </cell>
          <cell r="Y47" t="str">
            <v>--</v>
          </cell>
          <cell r="Z47" t="str">
            <v>--</v>
          </cell>
          <cell r="AA47" t="str">
            <v>--</v>
          </cell>
          <cell r="AB47" t="str">
            <v>--</v>
          </cell>
          <cell r="AC47" t="str">
            <v>--</v>
          </cell>
          <cell r="AD47" t="str">
            <v>--</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t="str">
            <v>--</v>
          </cell>
          <cell r="AQ47" t="str">
            <v>--</v>
          </cell>
          <cell r="AR47" t="str">
            <v>--</v>
          </cell>
          <cell r="AS47" t="str">
            <v>--</v>
          </cell>
          <cell r="AT47" t="str">
            <v>--</v>
          </cell>
          <cell r="AU47" t="str">
            <v>--</v>
          </cell>
          <cell r="AV47" t="str">
            <v>--</v>
          </cell>
          <cell r="AW47" t="str">
            <v>--</v>
          </cell>
          <cell r="AX47" t="str">
            <v>--</v>
          </cell>
          <cell r="AY47" t="str">
            <v>--</v>
          </cell>
          <cell r="AZ47" t="str">
            <v>--</v>
          </cell>
          <cell r="BA47" t="str">
            <v>--</v>
          </cell>
          <cell r="BB47" t="str">
            <v>--</v>
          </cell>
          <cell r="BC47" t="str">
            <v>--</v>
          </cell>
          <cell r="BD47" t="str">
            <v>--</v>
          </cell>
          <cell r="BE47" t="str">
            <v>--</v>
          </cell>
          <cell r="BF47" t="str">
            <v>--</v>
          </cell>
          <cell r="BG47" t="str">
            <v>--</v>
          </cell>
          <cell r="BH47" t="str">
            <v>--</v>
          </cell>
          <cell r="BI47" t="str">
            <v>--</v>
          </cell>
          <cell r="BJ47" t="str">
            <v>--</v>
          </cell>
          <cell r="BK47" t="str">
            <v>--</v>
          </cell>
          <cell r="BL47" t="str">
            <v>--</v>
          </cell>
          <cell r="BM47" t="str">
            <v>--</v>
          </cell>
          <cell r="BN47" t="str">
            <v>--</v>
          </cell>
          <cell r="BO47" t="str">
            <v>--</v>
          </cell>
          <cell r="BP47" t="str">
            <v>--</v>
          </cell>
          <cell r="BQ47" t="str">
            <v>--</v>
          </cell>
          <cell r="BR47" t="str">
            <v>--</v>
          </cell>
          <cell r="BS47" t="str">
            <v>--</v>
          </cell>
          <cell r="BT47" t="str">
            <v>--</v>
          </cell>
          <cell r="BU47" t="str">
            <v>--</v>
          </cell>
          <cell r="BV47" t="str">
            <v>--</v>
          </cell>
          <cell r="BW47" t="str">
            <v>--</v>
          </cell>
          <cell r="BX47" t="str">
            <v>--</v>
          </cell>
          <cell r="BY47" t="str">
            <v>--</v>
          </cell>
          <cell r="BZ47" t="str">
            <v>--</v>
          </cell>
          <cell r="CA47" t="str">
            <v>--</v>
          </cell>
          <cell r="CB47" t="str">
            <v>--</v>
          </cell>
          <cell r="CC47" t="str">
            <v>--</v>
          </cell>
          <cell r="CD47" t="str">
            <v>--</v>
          </cell>
          <cell r="CE47" t="str">
            <v>--</v>
          </cell>
          <cell r="CF47" t="str">
            <v>--</v>
          </cell>
          <cell r="CG47" t="str">
            <v>--</v>
          </cell>
          <cell r="CH47" t="str">
            <v>--</v>
          </cell>
          <cell r="CI47" t="str">
            <v>--</v>
          </cell>
          <cell r="CJ47" t="str">
            <v>--</v>
          </cell>
          <cell r="CK47" t="str">
            <v>--</v>
          </cell>
          <cell r="CL47" t="str">
            <v>--</v>
          </cell>
          <cell r="CM47" t="str">
            <v>--</v>
          </cell>
          <cell r="CN47" t="str">
            <v>--</v>
          </cell>
          <cell r="CO47" t="str">
            <v>--</v>
          </cell>
          <cell r="CP47" t="str">
            <v>--</v>
          </cell>
          <cell r="CQ47" t="str">
            <v>--</v>
          </cell>
          <cell r="CR47" t="str">
            <v>--</v>
          </cell>
          <cell r="CS47" t="str">
            <v>--</v>
          </cell>
          <cell r="CT47" t="str">
            <v>--</v>
          </cell>
          <cell r="CU47" t="str">
            <v>--</v>
          </cell>
          <cell r="CV47" t="str">
            <v>--</v>
          </cell>
          <cell r="CW47" t="str">
            <v>--</v>
          </cell>
          <cell r="CX47" t="str">
            <v>--</v>
          </cell>
          <cell r="CY47" t="str">
            <v>--</v>
          </cell>
          <cell r="CZ47" t="str">
            <v>--</v>
          </cell>
          <cell r="DA47" t="str">
            <v>--</v>
          </cell>
          <cell r="DB47" t="str">
            <v>--</v>
          </cell>
          <cell r="DC47" t="str">
            <v>--</v>
          </cell>
          <cell r="DD47" t="str">
            <v>--</v>
          </cell>
          <cell r="DE47" t="str">
            <v>--</v>
          </cell>
          <cell r="DF47" t="str">
            <v>--</v>
          </cell>
          <cell r="DG47" t="str">
            <v>--</v>
          </cell>
          <cell r="DH47" t="str">
            <v>--</v>
          </cell>
          <cell r="DI47" t="str">
            <v>--</v>
          </cell>
          <cell r="DJ47" t="str">
            <v>--</v>
          </cell>
          <cell r="DK47" t="str">
            <v>--</v>
          </cell>
          <cell r="DL47" t="str">
            <v>--</v>
          </cell>
          <cell r="DM47" t="str">
            <v>--</v>
          </cell>
          <cell r="DN47" t="str">
            <v>--</v>
          </cell>
          <cell r="DO47" t="str">
            <v>--</v>
          </cell>
          <cell r="DP47" t="str">
            <v>--</v>
          </cell>
          <cell r="DQ47" t="str">
            <v>--</v>
          </cell>
          <cell r="DR47" t="str">
            <v>--</v>
          </cell>
          <cell r="DS47" t="str">
            <v>--</v>
          </cell>
          <cell r="DT47" t="str">
            <v>--</v>
          </cell>
          <cell r="DU47" t="str">
            <v>--</v>
          </cell>
          <cell r="DV47" t="str">
            <v>--</v>
          </cell>
          <cell r="DW47" t="str">
            <v>--</v>
          </cell>
          <cell r="DX47" t="str">
            <v>--</v>
          </cell>
          <cell r="DY47" t="str">
            <v>--</v>
          </cell>
          <cell r="DZ47" t="str">
            <v>--</v>
          </cell>
          <cell r="EA47" t="str">
            <v>--</v>
          </cell>
          <cell r="EB47" t="str">
            <v>--</v>
          </cell>
          <cell r="EC47" t="str">
            <v>--</v>
          </cell>
          <cell r="ED47" t="str">
            <v>--</v>
          </cell>
          <cell r="EE47" t="str">
            <v>--</v>
          </cell>
          <cell r="EF47" t="str">
            <v>--</v>
          </cell>
          <cell r="EG47" t="str">
            <v>--</v>
          </cell>
        </row>
        <row r="48">
          <cell r="A48" t="str">
            <v>00350180Nat. Haw. or Pacif. Isl.</v>
          </cell>
          <cell r="B48" t="str">
            <v>00350180P</v>
          </cell>
          <cell r="C48" t="str">
            <v>0035</v>
          </cell>
          <cell r="D48" t="str">
            <v>00350180</v>
          </cell>
          <cell r="E48" t="str">
            <v>Boston</v>
          </cell>
          <cell r="F48" t="str">
            <v>John Winthrop</v>
          </cell>
          <cell r="G48" t="str">
            <v>ES</v>
          </cell>
          <cell r="H48" t="str">
            <v>Boston - John Winthrop (00350180)</v>
          </cell>
          <cell r="I48" t="str">
            <v>Nat. Haw. or Pacif. Isl.</v>
          </cell>
          <cell r="J48" t="str">
            <v>00350180Nat. Haw. or Pacif. Isl.</v>
          </cell>
          <cell r="K48" t="str">
            <v>Level 3</v>
          </cell>
          <cell r="L48" t="str">
            <v>--</v>
          </cell>
          <cell r="M48" t="str">
            <v>--</v>
          </cell>
          <cell r="N48" t="str">
            <v>--</v>
          </cell>
          <cell r="O48" t="str">
            <v>--</v>
          </cell>
          <cell r="P48" t="str">
            <v>--</v>
          </cell>
          <cell r="Q48" t="str">
            <v>--</v>
          </cell>
          <cell r="R48" t="str">
            <v>--</v>
          </cell>
          <cell r="S48" t="str">
            <v>--</v>
          </cell>
          <cell r="T48" t="str">
            <v>--</v>
          </cell>
          <cell r="U48" t="str">
            <v>--</v>
          </cell>
          <cell r="V48" t="str">
            <v>--</v>
          </cell>
          <cell r="W48" t="str">
            <v>--</v>
          </cell>
          <cell r="X48" t="str">
            <v>--</v>
          </cell>
          <cell r="Y48" t="str">
            <v>--</v>
          </cell>
          <cell r="Z48" t="str">
            <v>--</v>
          </cell>
          <cell r="AA48" t="str">
            <v>--</v>
          </cell>
          <cell r="AB48" t="str">
            <v>--</v>
          </cell>
          <cell r="AC48" t="str">
            <v>--</v>
          </cell>
          <cell r="AD48" t="str">
            <v>--</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t="str">
            <v>--</v>
          </cell>
          <cell r="AQ48" t="str">
            <v>--</v>
          </cell>
          <cell r="AR48" t="str">
            <v>--</v>
          </cell>
          <cell r="AS48" t="str">
            <v>--</v>
          </cell>
          <cell r="AT48" t="str">
            <v>--</v>
          </cell>
          <cell r="AU48" t="str">
            <v>--</v>
          </cell>
          <cell r="AV48" t="str">
            <v>--</v>
          </cell>
          <cell r="AW48" t="str">
            <v>--</v>
          </cell>
          <cell r="AX48" t="str">
            <v>--</v>
          </cell>
          <cell r="AY48" t="str">
            <v>--</v>
          </cell>
          <cell r="AZ48" t="str">
            <v>--</v>
          </cell>
          <cell r="BA48" t="str">
            <v>--</v>
          </cell>
          <cell r="BB48" t="str">
            <v>--</v>
          </cell>
          <cell r="BC48" t="str">
            <v>--</v>
          </cell>
          <cell r="BD48" t="str">
            <v>--</v>
          </cell>
          <cell r="BE48" t="str">
            <v>--</v>
          </cell>
          <cell r="BF48" t="str">
            <v>--</v>
          </cell>
          <cell r="BG48" t="str">
            <v>--</v>
          </cell>
          <cell r="BH48" t="str">
            <v>--</v>
          </cell>
          <cell r="BI48" t="str">
            <v>--</v>
          </cell>
          <cell r="BJ48" t="str">
            <v>--</v>
          </cell>
          <cell r="BK48" t="str">
            <v>--</v>
          </cell>
          <cell r="BL48" t="str">
            <v>--</v>
          </cell>
          <cell r="BM48" t="str">
            <v>--</v>
          </cell>
          <cell r="BN48" t="str">
            <v>--</v>
          </cell>
          <cell r="BO48" t="str">
            <v>--</v>
          </cell>
          <cell r="BP48" t="str">
            <v>--</v>
          </cell>
          <cell r="BQ48" t="str">
            <v>--</v>
          </cell>
          <cell r="BR48" t="str">
            <v>--</v>
          </cell>
          <cell r="BS48" t="str">
            <v>--</v>
          </cell>
          <cell r="BT48" t="str">
            <v>--</v>
          </cell>
          <cell r="BU48" t="str">
            <v>--</v>
          </cell>
          <cell r="BV48" t="str">
            <v>--</v>
          </cell>
          <cell r="BW48" t="str">
            <v>--</v>
          </cell>
          <cell r="BX48" t="str">
            <v>--</v>
          </cell>
          <cell r="BY48" t="str">
            <v>--</v>
          </cell>
          <cell r="BZ48" t="str">
            <v>--</v>
          </cell>
          <cell r="CA48" t="str">
            <v>--</v>
          </cell>
          <cell r="CB48" t="str">
            <v>--</v>
          </cell>
          <cell r="CC48" t="str">
            <v>--</v>
          </cell>
          <cell r="CD48" t="str">
            <v>--</v>
          </cell>
          <cell r="CE48" t="str">
            <v>--</v>
          </cell>
          <cell r="CF48" t="str">
            <v>--</v>
          </cell>
          <cell r="CG48" t="str">
            <v>--</v>
          </cell>
          <cell r="CH48" t="str">
            <v>--</v>
          </cell>
          <cell r="CI48" t="str">
            <v>--</v>
          </cell>
          <cell r="CJ48" t="str">
            <v>--</v>
          </cell>
          <cell r="CK48" t="str">
            <v>--</v>
          </cell>
          <cell r="CL48" t="str">
            <v>--</v>
          </cell>
          <cell r="CM48" t="str">
            <v>--</v>
          </cell>
          <cell r="CN48" t="str">
            <v>--</v>
          </cell>
          <cell r="CO48" t="str">
            <v>--</v>
          </cell>
          <cell r="CP48" t="str">
            <v>--</v>
          </cell>
          <cell r="CQ48" t="str">
            <v>--</v>
          </cell>
          <cell r="CR48" t="str">
            <v>--</v>
          </cell>
          <cell r="CS48" t="str">
            <v>--</v>
          </cell>
          <cell r="CT48" t="str">
            <v>--</v>
          </cell>
          <cell r="CU48" t="str">
            <v>--</v>
          </cell>
          <cell r="CV48" t="str">
            <v>--</v>
          </cell>
          <cell r="CW48" t="str">
            <v>--</v>
          </cell>
          <cell r="CX48" t="str">
            <v>--</v>
          </cell>
          <cell r="CY48" t="str">
            <v>--</v>
          </cell>
          <cell r="CZ48" t="str">
            <v>--</v>
          </cell>
          <cell r="DA48" t="str">
            <v>--</v>
          </cell>
          <cell r="DB48" t="str">
            <v>--</v>
          </cell>
          <cell r="DC48" t="str">
            <v>--</v>
          </cell>
          <cell r="DD48" t="str">
            <v>--</v>
          </cell>
          <cell r="DE48" t="str">
            <v>--</v>
          </cell>
          <cell r="DF48" t="str">
            <v>--</v>
          </cell>
          <cell r="DG48" t="str">
            <v>--</v>
          </cell>
          <cell r="DH48" t="str">
            <v>--</v>
          </cell>
          <cell r="DI48" t="str">
            <v>--</v>
          </cell>
          <cell r="DJ48" t="str">
            <v>--</v>
          </cell>
          <cell r="DK48" t="str">
            <v>--</v>
          </cell>
          <cell r="DL48" t="str">
            <v>--</v>
          </cell>
          <cell r="DM48" t="str">
            <v>--</v>
          </cell>
          <cell r="DN48" t="str">
            <v>--</v>
          </cell>
          <cell r="DO48" t="str">
            <v>--</v>
          </cell>
          <cell r="DP48" t="str">
            <v>--</v>
          </cell>
          <cell r="DQ48" t="str">
            <v>--</v>
          </cell>
          <cell r="DR48" t="str">
            <v>--</v>
          </cell>
          <cell r="DS48" t="str">
            <v>--</v>
          </cell>
          <cell r="DT48" t="str">
            <v>--</v>
          </cell>
          <cell r="DU48" t="str">
            <v>--</v>
          </cell>
          <cell r="DV48" t="str">
            <v>--</v>
          </cell>
          <cell r="DW48" t="str">
            <v>--</v>
          </cell>
          <cell r="DX48" t="str">
            <v>--</v>
          </cell>
          <cell r="DY48" t="str">
            <v>--</v>
          </cell>
          <cell r="DZ48" t="str">
            <v>--</v>
          </cell>
          <cell r="EA48" t="str">
            <v>--</v>
          </cell>
          <cell r="EB48" t="str">
            <v>--</v>
          </cell>
          <cell r="EC48" t="str">
            <v>--</v>
          </cell>
          <cell r="ED48" t="str">
            <v>--</v>
          </cell>
          <cell r="EE48" t="str">
            <v>--</v>
          </cell>
          <cell r="EF48" t="str">
            <v>--</v>
          </cell>
          <cell r="EG48" t="str">
            <v>--</v>
          </cell>
        </row>
        <row r="49">
          <cell r="A49" t="str">
            <v>00350180High needs</v>
          </cell>
          <cell r="B49" t="str">
            <v>00350180S</v>
          </cell>
          <cell r="C49" t="str">
            <v>0035</v>
          </cell>
          <cell r="D49" t="str">
            <v>00350180</v>
          </cell>
          <cell r="E49" t="str">
            <v>Boston</v>
          </cell>
          <cell r="F49" t="str">
            <v>John Winthrop</v>
          </cell>
          <cell r="G49" t="str">
            <v>ES</v>
          </cell>
          <cell r="H49" t="str">
            <v>Boston - John Winthrop (00350180)</v>
          </cell>
          <cell r="I49" t="str">
            <v>High needs</v>
          </cell>
          <cell r="J49" t="str">
            <v>00350180High needs</v>
          </cell>
          <cell r="K49" t="str">
            <v>Level 3</v>
          </cell>
          <cell r="L49">
            <v>67.599999999999994</v>
          </cell>
          <cell r="M49">
            <v>70.3</v>
          </cell>
          <cell r="N49">
            <v>58.2</v>
          </cell>
          <cell r="O49">
            <v>73</v>
          </cell>
          <cell r="P49">
            <v>56.2</v>
          </cell>
          <cell r="Q49">
            <v>75.7</v>
          </cell>
          <cell r="R49">
            <v>78.400000000000006</v>
          </cell>
          <cell r="S49">
            <v>81.099999999999994</v>
          </cell>
          <cell r="T49">
            <v>83.8</v>
          </cell>
          <cell r="U49">
            <v>63</v>
          </cell>
          <cell r="V49">
            <v>66.099999999999994</v>
          </cell>
          <cell r="W49">
            <v>56.5</v>
          </cell>
          <cell r="X49">
            <v>69.2</v>
          </cell>
          <cell r="Y49">
            <v>52.4</v>
          </cell>
          <cell r="Z49">
            <v>72.3</v>
          </cell>
          <cell r="AA49">
            <v>75.3</v>
          </cell>
          <cell r="AB49">
            <v>78.400000000000006</v>
          </cell>
          <cell r="AC49">
            <v>81.5</v>
          </cell>
          <cell r="AD49">
            <v>43.4</v>
          </cell>
          <cell r="AE49">
            <v>48.1</v>
          </cell>
          <cell r="AF49">
            <v>34.5</v>
          </cell>
          <cell r="AG49">
            <v>52.8</v>
          </cell>
          <cell r="AH49">
            <v>50</v>
          </cell>
          <cell r="AI49">
            <v>57.6</v>
          </cell>
          <cell r="AJ49">
            <v>62.3</v>
          </cell>
          <cell r="AK49">
            <v>67</v>
          </cell>
          <cell r="AL49">
            <v>71.7</v>
          </cell>
          <cell r="AM49" t="str">
            <v>--</v>
          </cell>
          <cell r="AN49" t="str">
            <v>--</v>
          </cell>
          <cell r="AO49" t="str">
            <v>--</v>
          </cell>
          <cell r="AP49" t="str">
            <v>--</v>
          </cell>
          <cell r="AQ49" t="str">
            <v>--</v>
          </cell>
          <cell r="AR49" t="str">
            <v>--</v>
          </cell>
          <cell r="AS49" t="str">
            <v>--</v>
          </cell>
          <cell r="AT49" t="str">
            <v>--</v>
          </cell>
          <cell r="AU49" t="str">
            <v>--</v>
          </cell>
          <cell r="AV49" t="str">
            <v>--</v>
          </cell>
          <cell r="AW49" t="str">
            <v>--</v>
          </cell>
          <cell r="AX49" t="str">
            <v>--</v>
          </cell>
          <cell r="AY49" t="str">
            <v>--</v>
          </cell>
          <cell r="AZ49" t="str">
            <v>--</v>
          </cell>
          <cell r="BA49" t="str">
            <v>--</v>
          </cell>
          <cell r="BB49" t="str">
            <v>--</v>
          </cell>
          <cell r="BC49" t="str">
            <v>--</v>
          </cell>
          <cell r="BD49" t="str">
            <v>--</v>
          </cell>
          <cell r="BE49" t="str">
            <v>--</v>
          </cell>
          <cell r="BF49" t="str">
            <v>--</v>
          </cell>
          <cell r="BG49" t="str">
            <v>--</v>
          </cell>
          <cell r="BH49" t="str">
            <v>--</v>
          </cell>
          <cell r="BI49" t="str">
            <v>--</v>
          </cell>
          <cell r="BJ49" t="str">
            <v>--</v>
          </cell>
          <cell r="BK49" t="str">
            <v>--</v>
          </cell>
          <cell r="BL49" t="str">
            <v>--</v>
          </cell>
          <cell r="BM49" t="str">
            <v>--</v>
          </cell>
          <cell r="BN49">
            <v>52</v>
          </cell>
          <cell r="BO49">
            <v>51</v>
          </cell>
          <cell r="BP49">
            <v>29.5</v>
          </cell>
          <cell r="BQ49">
            <v>39.5</v>
          </cell>
          <cell r="BR49">
            <v>31</v>
          </cell>
          <cell r="BS49">
            <v>41</v>
          </cell>
          <cell r="BT49">
            <v>51</v>
          </cell>
          <cell r="BU49">
            <v>51</v>
          </cell>
          <cell r="BV49">
            <v>51</v>
          </cell>
          <cell r="BW49">
            <v>56</v>
          </cell>
          <cell r="BX49">
            <v>51</v>
          </cell>
          <cell r="BY49">
            <v>31</v>
          </cell>
          <cell r="BZ49">
            <v>41</v>
          </cell>
          <cell r="CA49">
            <v>33</v>
          </cell>
          <cell r="CB49">
            <v>43</v>
          </cell>
          <cell r="CC49">
            <v>51</v>
          </cell>
          <cell r="CD49">
            <v>51</v>
          </cell>
          <cell r="CE49">
            <v>51</v>
          </cell>
          <cell r="CF49">
            <v>15.2</v>
          </cell>
          <cell r="CG49">
            <v>13.7</v>
          </cell>
          <cell r="CH49">
            <v>29.9</v>
          </cell>
          <cell r="CI49">
            <v>26.9</v>
          </cell>
          <cell r="CJ49">
            <v>31.6</v>
          </cell>
          <cell r="CK49">
            <v>28.4</v>
          </cell>
          <cell r="CL49">
            <v>25.6</v>
          </cell>
          <cell r="CM49">
            <v>23</v>
          </cell>
          <cell r="CN49">
            <v>20.7</v>
          </cell>
          <cell r="CO49">
            <v>26.9</v>
          </cell>
          <cell r="CP49">
            <v>24.2</v>
          </cell>
          <cell r="CQ49">
            <v>32.700000000000003</v>
          </cell>
          <cell r="CR49">
            <v>29.4</v>
          </cell>
          <cell r="CS49">
            <v>38.299999999999997</v>
          </cell>
          <cell r="CT49">
            <v>34.5</v>
          </cell>
          <cell r="CU49">
            <v>31</v>
          </cell>
          <cell r="CV49">
            <v>27.9</v>
          </cell>
          <cell r="CW49">
            <v>25.1</v>
          </cell>
          <cell r="CX49">
            <v>50</v>
          </cell>
          <cell r="CY49">
            <v>45</v>
          </cell>
          <cell r="CZ49">
            <v>69</v>
          </cell>
          <cell r="DA49">
            <v>62.1</v>
          </cell>
          <cell r="DB49">
            <v>36.6</v>
          </cell>
          <cell r="DC49">
            <v>32.9</v>
          </cell>
          <cell r="DD49">
            <v>29.6</v>
          </cell>
          <cell r="DE49">
            <v>26.7</v>
          </cell>
          <cell r="DF49">
            <v>24</v>
          </cell>
          <cell r="DG49">
            <v>2.9</v>
          </cell>
          <cell r="DH49">
            <v>3.2</v>
          </cell>
          <cell r="DI49">
            <v>0.9</v>
          </cell>
          <cell r="DJ49">
            <v>1</v>
          </cell>
          <cell r="DK49">
            <v>0.8</v>
          </cell>
          <cell r="DL49">
            <v>0.9</v>
          </cell>
          <cell r="DM49">
            <v>1</v>
          </cell>
          <cell r="DN49">
            <v>1.1000000000000001</v>
          </cell>
          <cell r="DO49">
            <v>1.2</v>
          </cell>
          <cell r="DP49">
            <v>1.9</v>
          </cell>
          <cell r="DQ49">
            <v>2.1</v>
          </cell>
          <cell r="DR49">
            <v>1.9</v>
          </cell>
          <cell r="DS49">
            <v>2.1</v>
          </cell>
          <cell r="DT49">
            <v>3.8</v>
          </cell>
          <cell r="DU49">
            <v>4.2</v>
          </cell>
          <cell r="DV49">
            <v>4.5999999999999996</v>
          </cell>
          <cell r="DW49">
            <v>5.0999999999999996</v>
          </cell>
          <cell r="DX49">
            <v>5.6</v>
          </cell>
          <cell r="DY49">
            <v>0</v>
          </cell>
          <cell r="DZ49">
            <v>1</v>
          </cell>
          <cell r="EA49">
            <v>0</v>
          </cell>
          <cell r="EB49">
            <v>1</v>
          </cell>
          <cell r="EC49">
            <v>0</v>
          </cell>
          <cell r="ED49">
            <v>1</v>
          </cell>
          <cell r="EE49">
            <v>1.1000000000000001</v>
          </cell>
          <cell r="EF49">
            <v>1.2</v>
          </cell>
          <cell r="EG49">
            <v>1.3</v>
          </cell>
        </row>
        <row r="50">
          <cell r="A50" t="str">
            <v>00350180All students</v>
          </cell>
          <cell r="B50" t="str">
            <v>00350180T</v>
          </cell>
          <cell r="C50" t="str">
            <v>0035</v>
          </cell>
          <cell r="D50" t="str">
            <v>00350180</v>
          </cell>
          <cell r="E50" t="str">
            <v>Boston</v>
          </cell>
          <cell r="F50" t="str">
            <v>John Winthrop</v>
          </cell>
          <cell r="G50" t="str">
            <v>ES</v>
          </cell>
          <cell r="H50" t="str">
            <v>Boston - John Winthrop (00350180)</v>
          </cell>
          <cell r="I50" t="str">
            <v>All students</v>
          </cell>
          <cell r="J50" t="str">
            <v>00350180All students</v>
          </cell>
          <cell r="K50" t="str">
            <v>Level 3</v>
          </cell>
          <cell r="L50">
            <v>68.5</v>
          </cell>
          <cell r="M50">
            <v>71.099999999999994</v>
          </cell>
          <cell r="N50">
            <v>60.9</v>
          </cell>
          <cell r="O50">
            <v>73.8</v>
          </cell>
          <cell r="P50">
            <v>57</v>
          </cell>
          <cell r="Q50">
            <v>76.400000000000006</v>
          </cell>
          <cell r="R50">
            <v>79</v>
          </cell>
          <cell r="S50">
            <v>81.599999999999994</v>
          </cell>
          <cell r="T50">
            <v>84.3</v>
          </cell>
          <cell r="U50">
            <v>65</v>
          </cell>
          <cell r="V50">
            <v>67.900000000000006</v>
          </cell>
          <cell r="W50">
            <v>57.3</v>
          </cell>
          <cell r="X50">
            <v>70.8</v>
          </cell>
          <cell r="Y50">
            <v>53.2</v>
          </cell>
          <cell r="Z50">
            <v>73.8</v>
          </cell>
          <cell r="AA50">
            <v>76.7</v>
          </cell>
          <cell r="AB50">
            <v>79.599999999999994</v>
          </cell>
          <cell r="AC50">
            <v>82.5</v>
          </cell>
          <cell r="AD50">
            <v>45.1</v>
          </cell>
          <cell r="AE50">
            <v>49.7</v>
          </cell>
          <cell r="AF50">
            <v>39</v>
          </cell>
          <cell r="AG50">
            <v>54.3</v>
          </cell>
          <cell r="AH50">
            <v>51.1</v>
          </cell>
          <cell r="AI50">
            <v>58.8</v>
          </cell>
          <cell r="AJ50">
            <v>63.4</v>
          </cell>
          <cell r="AK50">
            <v>68</v>
          </cell>
          <cell r="AL50">
            <v>72.599999999999994</v>
          </cell>
          <cell r="AM50" t="str">
            <v>--</v>
          </cell>
          <cell r="AN50" t="str">
            <v>--</v>
          </cell>
          <cell r="AO50" t="str">
            <v>--</v>
          </cell>
          <cell r="AP50" t="str">
            <v>--</v>
          </cell>
          <cell r="AQ50" t="str">
            <v>--</v>
          </cell>
          <cell r="AR50" t="str">
            <v>--</v>
          </cell>
          <cell r="AS50" t="str">
            <v>--</v>
          </cell>
          <cell r="AT50" t="str">
            <v>--</v>
          </cell>
          <cell r="AU50" t="str">
            <v>--</v>
          </cell>
          <cell r="AV50" t="str">
            <v>--</v>
          </cell>
          <cell r="AW50" t="str">
            <v>--</v>
          </cell>
          <cell r="AX50" t="str">
            <v>--</v>
          </cell>
          <cell r="AY50" t="str">
            <v>--</v>
          </cell>
          <cell r="AZ50" t="str">
            <v>--</v>
          </cell>
          <cell r="BA50" t="str">
            <v>--</v>
          </cell>
          <cell r="BB50" t="str">
            <v>--</v>
          </cell>
          <cell r="BC50" t="str">
            <v>--</v>
          </cell>
          <cell r="BD50" t="str">
            <v>--</v>
          </cell>
          <cell r="BE50" t="str">
            <v>--</v>
          </cell>
          <cell r="BF50" t="str">
            <v>--</v>
          </cell>
          <cell r="BG50" t="str">
            <v>--</v>
          </cell>
          <cell r="BH50" t="str">
            <v>--</v>
          </cell>
          <cell r="BI50" t="str">
            <v>--</v>
          </cell>
          <cell r="BJ50" t="str">
            <v>--</v>
          </cell>
          <cell r="BK50" t="str">
            <v>--</v>
          </cell>
          <cell r="BL50" t="str">
            <v>--</v>
          </cell>
          <cell r="BM50" t="str">
            <v>--</v>
          </cell>
          <cell r="BN50">
            <v>57</v>
          </cell>
          <cell r="BO50">
            <v>51</v>
          </cell>
          <cell r="BP50">
            <v>31</v>
          </cell>
          <cell r="BQ50">
            <v>41</v>
          </cell>
          <cell r="BR50">
            <v>31</v>
          </cell>
          <cell r="BS50">
            <v>41</v>
          </cell>
          <cell r="BT50">
            <v>51</v>
          </cell>
          <cell r="BU50">
            <v>51</v>
          </cell>
          <cell r="BV50">
            <v>51</v>
          </cell>
          <cell r="BW50">
            <v>55</v>
          </cell>
          <cell r="BX50">
            <v>51</v>
          </cell>
          <cell r="BY50">
            <v>30</v>
          </cell>
          <cell r="BZ50">
            <v>40</v>
          </cell>
          <cell r="CA50">
            <v>33</v>
          </cell>
          <cell r="CB50">
            <v>43</v>
          </cell>
          <cell r="CC50">
            <v>51</v>
          </cell>
          <cell r="CD50">
            <v>51</v>
          </cell>
          <cell r="CE50">
            <v>51</v>
          </cell>
          <cell r="CF50">
            <v>15.5</v>
          </cell>
          <cell r="CG50">
            <v>14</v>
          </cell>
          <cell r="CH50">
            <v>27</v>
          </cell>
          <cell r="CI50">
            <v>24.3</v>
          </cell>
          <cell r="CJ50">
            <v>31</v>
          </cell>
          <cell r="CK50">
            <v>27.9</v>
          </cell>
          <cell r="CL50">
            <v>25.1</v>
          </cell>
          <cell r="CM50">
            <v>22.6</v>
          </cell>
          <cell r="CN50">
            <v>20.3</v>
          </cell>
          <cell r="CO50">
            <v>24.3</v>
          </cell>
          <cell r="CP50">
            <v>21.9</v>
          </cell>
          <cell r="CQ50">
            <v>29.4</v>
          </cell>
          <cell r="CR50">
            <v>26.5</v>
          </cell>
          <cell r="CS50">
            <v>38.700000000000003</v>
          </cell>
          <cell r="CT50">
            <v>34.799999999999997</v>
          </cell>
          <cell r="CU50">
            <v>31.3</v>
          </cell>
          <cell r="CV50">
            <v>28.2</v>
          </cell>
          <cell r="CW50">
            <v>25.4</v>
          </cell>
          <cell r="CX50">
            <v>46.3</v>
          </cell>
          <cell r="CY50">
            <v>41.7</v>
          </cell>
          <cell r="CZ50">
            <v>61.8</v>
          </cell>
          <cell r="DA50">
            <v>55.6</v>
          </cell>
          <cell r="DB50">
            <v>34.1</v>
          </cell>
          <cell r="DC50">
            <v>30.7</v>
          </cell>
          <cell r="DD50">
            <v>27.6</v>
          </cell>
          <cell r="DE50">
            <v>24.9</v>
          </cell>
          <cell r="DF50">
            <v>22.4</v>
          </cell>
          <cell r="DG50">
            <v>2.6</v>
          </cell>
          <cell r="DH50">
            <v>2.9</v>
          </cell>
          <cell r="DI50">
            <v>0.8</v>
          </cell>
          <cell r="DJ50">
            <v>0.9</v>
          </cell>
          <cell r="DK50">
            <v>0.7</v>
          </cell>
          <cell r="DL50">
            <v>0.8</v>
          </cell>
          <cell r="DM50">
            <v>0.8</v>
          </cell>
          <cell r="DN50">
            <v>0.9</v>
          </cell>
          <cell r="DO50">
            <v>1</v>
          </cell>
          <cell r="DP50">
            <v>1.7</v>
          </cell>
          <cell r="DQ50">
            <v>1.9</v>
          </cell>
          <cell r="DR50">
            <v>1.6</v>
          </cell>
          <cell r="DS50">
            <v>1.8</v>
          </cell>
          <cell r="DT50">
            <v>4.2</v>
          </cell>
          <cell r="DU50">
            <v>4.5999999999999996</v>
          </cell>
          <cell r="DV50">
            <v>5.0999999999999996</v>
          </cell>
          <cell r="DW50">
            <v>5.6</v>
          </cell>
          <cell r="DX50">
            <v>6.1</v>
          </cell>
          <cell r="DY50">
            <v>0</v>
          </cell>
          <cell r="DZ50">
            <v>1</v>
          </cell>
          <cell r="EA50">
            <v>0</v>
          </cell>
          <cell r="EB50">
            <v>1</v>
          </cell>
          <cell r="EC50">
            <v>0</v>
          </cell>
          <cell r="ED50">
            <v>1</v>
          </cell>
          <cell r="EE50">
            <v>1.1000000000000001</v>
          </cell>
          <cell r="EF50">
            <v>1.2</v>
          </cell>
          <cell r="EG50">
            <v>1.3</v>
          </cell>
        </row>
        <row r="51">
          <cell r="A51" t="str">
            <v>00350226Asian</v>
          </cell>
          <cell r="B51" t="str">
            <v>00350226A</v>
          </cell>
          <cell r="C51" t="str">
            <v>0035</v>
          </cell>
          <cell r="D51" t="str">
            <v>00350226</v>
          </cell>
          <cell r="E51" t="str">
            <v>Boston</v>
          </cell>
          <cell r="F51" t="str">
            <v>Mattahunt</v>
          </cell>
          <cell r="G51" t="str">
            <v>ES</v>
          </cell>
          <cell r="H51" t="str">
            <v>Boston - Mattahunt (00350226)</v>
          </cell>
          <cell r="I51" t="str">
            <v>Asian</v>
          </cell>
          <cell r="J51" t="str">
            <v>00350226Asian</v>
          </cell>
          <cell r="K51" t="str">
            <v>--</v>
          </cell>
          <cell r="L51" t="str">
            <v>--</v>
          </cell>
          <cell r="M51" t="str">
            <v>--</v>
          </cell>
          <cell r="N51" t="str">
            <v>--</v>
          </cell>
          <cell r="O51" t="str">
            <v>--</v>
          </cell>
          <cell r="P51" t="str">
            <v>--</v>
          </cell>
          <cell r="Q51" t="str">
            <v>--</v>
          </cell>
          <cell r="R51" t="str">
            <v>--</v>
          </cell>
          <cell r="S51" t="str">
            <v>--</v>
          </cell>
          <cell r="T51" t="str">
            <v>--</v>
          </cell>
          <cell r="U51" t="str">
            <v>--</v>
          </cell>
          <cell r="V51" t="str">
            <v>--</v>
          </cell>
          <cell r="W51" t="str">
            <v>--</v>
          </cell>
          <cell r="X51" t="str">
            <v>--</v>
          </cell>
          <cell r="Y51" t="str">
            <v>--</v>
          </cell>
          <cell r="Z51" t="str">
            <v>--</v>
          </cell>
          <cell r="AA51" t="str">
            <v>--</v>
          </cell>
          <cell r="AB51" t="str">
            <v>--</v>
          </cell>
          <cell r="AC51" t="str">
            <v>--</v>
          </cell>
          <cell r="AD51" t="str">
            <v>--</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t="str">
            <v>--</v>
          </cell>
          <cell r="BT51" t="str">
            <v>--</v>
          </cell>
          <cell r="BU51" t="str">
            <v>--</v>
          </cell>
          <cell r="BV51" t="str">
            <v>--</v>
          </cell>
          <cell r="BW51" t="str">
            <v>--</v>
          </cell>
          <cell r="BX51" t="str">
            <v>--</v>
          </cell>
          <cell r="BY51" t="str">
            <v>--</v>
          </cell>
          <cell r="BZ51" t="str">
            <v>--</v>
          </cell>
          <cell r="CA51" t="str">
            <v>--</v>
          </cell>
          <cell r="CB51" t="str">
            <v>--</v>
          </cell>
          <cell r="CC51" t="str">
            <v>--</v>
          </cell>
          <cell r="CD51" t="str">
            <v>--</v>
          </cell>
          <cell r="CE51" t="str">
            <v>--</v>
          </cell>
          <cell r="CF51" t="str">
            <v>--</v>
          </cell>
          <cell r="CG51" t="str">
            <v>--</v>
          </cell>
          <cell r="CH51" t="str">
            <v>--</v>
          </cell>
          <cell r="CI51" t="str">
            <v>--</v>
          </cell>
          <cell r="CJ51" t="str">
            <v>--</v>
          </cell>
          <cell r="CK51" t="str">
            <v>--</v>
          </cell>
          <cell r="CL51" t="str">
            <v>--</v>
          </cell>
          <cell r="CM51" t="str">
            <v>--</v>
          </cell>
          <cell r="CN51" t="str">
            <v>--</v>
          </cell>
          <cell r="CO51" t="str">
            <v>--</v>
          </cell>
          <cell r="CP51" t="str">
            <v>--</v>
          </cell>
          <cell r="CQ51" t="str">
            <v>--</v>
          </cell>
          <cell r="CR51" t="str">
            <v>--</v>
          </cell>
          <cell r="CS51" t="str">
            <v>--</v>
          </cell>
          <cell r="CT51" t="str">
            <v>--</v>
          </cell>
          <cell r="CU51" t="str">
            <v>--</v>
          </cell>
          <cell r="CV51" t="str">
            <v>--</v>
          </cell>
          <cell r="CW51" t="str">
            <v>--</v>
          </cell>
          <cell r="CX51" t="str">
            <v>--</v>
          </cell>
          <cell r="CY51" t="str">
            <v>--</v>
          </cell>
          <cell r="CZ51" t="str">
            <v>--</v>
          </cell>
          <cell r="DA51" t="str">
            <v>--</v>
          </cell>
          <cell r="DB51" t="str">
            <v>--</v>
          </cell>
          <cell r="DC51" t="str">
            <v>--</v>
          </cell>
          <cell r="DD51" t="str">
            <v>--</v>
          </cell>
          <cell r="DE51" t="str">
            <v>--</v>
          </cell>
          <cell r="DF51" t="str">
            <v>--</v>
          </cell>
          <cell r="DG51" t="str">
            <v>--</v>
          </cell>
          <cell r="DH51" t="str">
            <v>--</v>
          </cell>
          <cell r="DI51" t="str">
            <v>--</v>
          </cell>
          <cell r="DJ51" t="str">
            <v>--</v>
          </cell>
          <cell r="DK51" t="str">
            <v>--</v>
          </cell>
          <cell r="DL51" t="str">
            <v>--</v>
          </cell>
          <cell r="DM51" t="str">
            <v>--</v>
          </cell>
          <cell r="DN51" t="str">
            <v>--</v>
          </cell>
          <cell r="DO51" t="str">
            <v>--</v>
          </cell>
          <cell r="DP51" t="str">
            <v>--</v>
          </cell>
          <cell r="DQ51" t="str">
            <v>--</v>
          </cell>
          <cell r="DR51" t="str">
            <v>--</v>
          </cell>
          <cell r="DS51" t="str">
            <v>--</v>
          </cell>
          <cell r="DT51" t="str">
            <v>--</v>
          </cell>
          <cell r="DU51" t="str">
            <v>--</v>
          </cell>
          <cell r="DV51" t="str">
            <v>--</v>
          </cell>
          <cell r="DW51" t="str">
            <v>--</v>
          </cell>
          <cell r="DX51" t="str">
            <v>--</v>
          </cell>
          <cell r="DY51" t="str">
            <v>--</v>
          </cell>
          <cell r="DZ51" t="str">
            <v>--</v>
          </cell>
          <cell r="EA51" t="str">
            <v>--</v>
          </cell>
          <cell r="EB51" t="str">
            <v>--</v>
          </cell>
          <cell r="EC51" t="str">
            <v>--</v>
          </cell>
          <cell r="ED51" t="str">
            <v>--</v>
          </cell>
          <cell r="EE51" t="str">
            <v>--</v>
          </cell>
          <cell r="EF51" t="str">
            <v>--</v>
          </cell>
          <cell r="EG51" t="str">
            <v>--</v>
          </cell>
        </row>
        <row r="52">
          <cell r="A52" t="str">
            <v>00350226Afr. Amer/Black</v>
          </cell>
          <cell r="B52" t="str">
            <v>00350226B</v>
          </cell>
          <cell r="C52" t="str">
            <v>0035</v>
          </cell>
          <cell r="D52" t="str">
            <v>00350226</v>
          </cell>
          <cell r="E52" t="str">
            <v>Boston</v>
          </cell>
          <cell r="F52" t="str">
            <v>Mattahunt</v>
          </cell>
          <cell r="G52" t="str">
            <v>ES</v>
          </cell>
          <cell r="H52" t="str">
            <v>Boston - Mattahunt (00350226)</v>
          </cell>
          <cell r="I52" t="str">
            <v>Afr. Amer/Black</v>
          </cell>
          <cell r="J52" t="str">
            <v>00350226Afr. Amer/Black</v>
          </cell>
          <cell r="K52" t="str">
            <v>--</v>
          </cell>
          <cell r="L52">
            <v>57.9</v>
          </cell>
          <cell r="M52">
            <v>61.4</v>
          </cell>
          <cell r="N52">
            <v>53.3</v>
          </cell>
          <cell r="O52">
            <v>64.900000000000006</v>
          </cell>
          <cell r="P52">
            <v>55.3</v>
          </cell>
          <cell r="Q52">
            <v>68.400000000000006</v>
          </cell>
          <cell r="R52">
            <v>71.900000000000006</v>
          </cell>
          <cell r="S52">
            <v>75.400000000000006</v>
          </cell>
          <cell r="T52">
            <v>79</v>
          </cell>
          <cell r="U52">
            <v>53.1</v>
          </cell>
          <cell r="V52">
            <v>57</v>
          </cell>
          <cell r="W52">
            <v>50.6</v>
          </cell>
          <cell r="X52">
            <v>60.9</v>
          </cell>
          <cell r="Y52">
            <v>54.4</v>
          </cell>
          <cell r="Z52">
            <v>64.8</v>
          </cell>
          <cell r="AA52">
            <v>68.7</v>
          </cell>
          <cell r="AB52">
            <v>72.599999999999994</v>
          </cell>
          <cell r="AC52">
            <v>76.599999999999994</v>
          </cell>
          <cell r="AD52">
            <v>35.299999999999997</v>
          </cell>
          <cell r="AE52">
            <v>40.700000000000003</v>
          </cell>
          <cell r="AF52">
            <v>43.8</v>
          </cell>
          <cell r="AG52">
            <v>46.1</v>
          </cell>
          <cell r="AH52">
            <v>52.4</v>
          </cell>
          <cell r="AI52">
            <v>51.5</v>
          </cell>
          <cell r="AJ52">
            <v>56.9</v>
          </cell>
          <cell r="AK52">
            <v>62.3</v>
          </cell>
          <cell r="AL52">
            <v>67.7</v>
          </cell>
          <cell r="AM52" t="str">
            <v>--</v>
          </cell>
          <cell r="AN52" t="str">
            <v>--</v>
          </cell>
          <cell r="AO52" t="str">
            <v>--</v>
          </cell>
          <cell r="AP52" t="str">
            <v>--</v>
          </cell>
          <cell r="AQ52" t="str">
            <v>--</v>
          </cell>
          <cell r="AR52" t="str">
            <v>--</v>
          </cell>
          <cell r="AS52" t="str">
            <v>--</v>
          </cell>
          <cell r="AT52" t="str">
            <v>--</v>
          </cell>
          <cell r="AU52" t="str">
            <v>--</v>
          </cell>
          <cell r="AV52" t="str">
            <v>--</v>
          </cell>
          <cell r="AW52" t="str">
            <v>--</v>
          </cell>
          <cell r="AX52" t="str">
            <v>--</v>
          </cell>
          <cell r="AY52" t="str">
            <v>--</v>
          </cell>
          <cell r="AZ52" t="str">
            <v>--</v>
          </cell>
          <cell r="BA52" t="str">
            <v>--</v>
          </cell>
          <cell r="BB52" t="str">
            <v>--</v>
          </cell>
          <cell r="BC52" t="str">
            <v>--</v>
          </cell>
          <cell r="BD52" t="str">
            <v>--</v>
          </cell>
          <cell r="BE52" t="str">
            <v>--</v>
          </cell>
          <cell r="BF52" t="str">
            <v>--</v>
          </cell>
          <cell r="BG52" t="str">
            <v>--</v>
          </cell>
          <cell r="BH52" t="str">
            <v>--</v>
          </cell>
          <cell r="BI52" t="str">
            <v>--</v>
          </cell>
          <cell r="BJ52" t="str">
            <v>--</v>
          </cell>
          <cell r="BK52" t="str">
            <v>--</v>
          </cell>
          <cell r="BL52" t="str">
            <v>--</v>
          </cell>
          <cell r="BM52" t="str">
            <v>--</v>
          </cell>
          <cell r="BN52">
            <v>32</v>
          </cell>
          <cell r="BO52">
            <v>42</v>
          </cell>
          <cell r="BP52">
            <v>26.5</v>
          </cell>
          <cell r="BQ52">
            <v>36.5</v>
          </cell>
          <cell r="BR52">
            <v>55</v>
          </cell>
          <cell r="BS52">
            <v>51</v>
          </cell>
          <cell r="BT52">
            <v>51</v>
          </cell>
          <cell r="BU52">
            <v>51</v>
          </cell>
          <cell r="BV52">
            <v>51</v>
          </cell>
          <cell r="BW52">
            <v>37.5</v>
          </cell>
          <cell r="BX52">
            <v>47.5</v>
          </cell>
          <cell r="BY52">
            <v>43</v>
          </cell>
          <cell r="BZ52">
            <v>51</v>
          </cell>
          <cell r="CA52">
            <v>47</v>
          </cell>
          <cell r="CB52">
            <v>51</v>
          </cell>
          <cell r="CC52">
            <v>51</v>
          </cell>
          <cell r="CD52">
            <v>51</v>
          </cell>
          <cell r="CE52">
            <v>51</v>
          </cell>
          <cell r="CF52">
            <v>31.2</v>
          </cell>
          <cell r="CG52">
            <v>28.1</v>
          </cell>
          <cell r="CH52">
            <v>39.5</v>
          </cell>
          <cell r="CI52">
            <v>35.6</v>
          </cell>
          <cell r="CJ52">
            <v>37.799999999999997</v>
          </cell>
          <cell r="CK52">
            <v>34</v>
          </cell>
          <cell r="CL52">
            <v>30.6</v>
          </cell>
          <cell r="CM52">
            <v>27.6</v>
          </cell>
          <cell r="CN52">
            <v>24.8</v>
          </cell>
          <cell r="CO52">
            <v>40.4</v>
          </cell>
          <cell r="CP52">
            <v>36.4</v>
          </cell>
          <cell r="CQ52">
            <v>43.7</v>
          </cell>
          <cell r="CR52">
            <v>39.299999999999997</v>
          </cell>
          <cell r="CS52">
            <v>37.6</v>
          </cell>
          <cell r="CT52">
            <v>33.799999999999997</v>
          </cell>
          <cell r="CU52">
            <v>30.5</v>
          </cell>
          <cell r="CV52">
            <v>27.4</v>
          </cell>
          <cell r="CW52">
            <v>24.7</v>
          </cell>
          <cell r="CX52">
            <v>65.099999999999994</v>
          </cell>
          <cell r="CY52">
            <v>58.6</v>
          </cell>
          <cell r="CZ52">
            <v>48.3</v>
          </cell>
          <cell r="DA52">
            <v>43.5</v>
          </cell>
          <cell r="DB52">
            <v>38.1</v>
          </cell>
          <cell r="DC52">
            <v>34.299999999999997</v>
          </cell>
          <cell r="DD52">
            <v>30.9</v>
          </cell>
          <cell r="DE52">
            <v>27.8</v>
          </cell>
          <cell r="DF52">
            <v>25</v>
          </cell>
          <cell r="DG52">
            <v>0.5</v>
          </cell>
          <cell r="DH52">
            <v>0.6</v>
          </cell>
          <cell r="DI52">
            <v>1.2</v>
          </cell>
          <cell r="DJ52">
            <v>1.3</v>
          </cell>
          <cell r="DK52">
            <v>1.2</v>
          </cell>
          <cell r="DL52">
            <v>1.3</v>
          </cell>
          <cell r="DM52">
            <v>1.5</v>
          </cell>
          <cell r="DN52">
            <v>1.6</v>
          </cell>
          <cell r="DO52">
            <v>1.8</v>
          </cell>
          <cell r="DP52">
            <v>2.1</v>
          </cell>
          <cell r="DQ52">
            <v>2.2999999999999998</v>
          </cell>
          <cell r="DR52">
            <v>1.1000000000000001</v>
          </cell>
          <cell r="DS52">
            <v>1.2</v>
          </cell>
          <cell r="DT52">
            <v>2.4</v>
          </cell>
          <cell r="DU52">
            <v>2.6</v>
          </cell>
          <cell r="DV52">
            <v>2.9</v>
          </cell>
          <cell r="DW52">
            <v>3.2</v>
          </cell>
          <cell r="DX52">
            <v>3.5</v>
          </cell>
          <cell r="DY52">
            <v>0</v>
          </cell>
          <cell r="DZ52">
            <v>1</v>
          </cell>
          <cell r="EA52">
            <v>0</v>
          </cell>
          <cell r="EB52">
            <v>1</v>
          </cell>
          <cell r="EC52">
            <v>0</v>
          </cell>
          <cell r="ED52">
            <v>1</v>
          </cell>
          <cell r="EE52">
            <v>1.1000000000000001</v>
          </cell>
          <cell r="EF52">
            <v>1.2</v>
          </cell>
          <cell r="EG52">
            <v>1.3</v>
          </cell>
        </row>
        <row r="53">
          <cell r="A53" t="str">
            <v>00350226White</v>
          </cell>
          <cell r="B53" t="str">
            <v>00350226C</v>
          </cell>
          <cell r="C53" t="str">
            <v>0035</v>
          </cell>
          <cell r="D53" t="str">
            <v>00350226</v>
          </cell>
          <cell r="E53" t="str">
            <v>Boston</v>
          </cell>
          <cell r="F53" t="str">
            <v>Mattahunt</v>
          </cell>
          <cell r="G53" t="str">
            <v>ES</v>
          </cell>
          <cell r="H53" t="str">
            <v>Boston - Mattahunt (00350226)</v>
          </cell>
          <cell r="I53" t="str">
            <v>White</v>
          </cell>
          <cell r="J53" t="str">
            <v>00350226White</v>
          </cell>
          <cell r="K53" t="str">
            <v>--</v>
          </cell>
          <cell r="L53" t="str">
            <v>--</v>
          </cell>
          <cell r="M53" t="str">
            <v>--</v>
          </cell>
          <cell r="N53" t="str">
            <v>--</v>
          </cell>
          <cell r="O53" t="str">
            <v>--</v>
          </cell>
          <cell r="P53" t="str">
            <v>--</v>
          </cell>
          <cell r="Q53" t="str">
            <v>--</v>
          </cell>
          <cell r="R53" t="str">
            <v>--</v>
          </cell>
          <cell r="S53" t="str">
            <v>--</v>
          </cell>
          <cell r="T53" t="str">
            <v>--</v>
          </cell>
          <cell r="U53" t="str">
            <v>--</v>
          </cell>
          <cell r="V53" t="str">
            <v>--</v>
          </cell>
          <cell r="W53" t="str">
            <v>--</v>
          </cell>
          <cell r="X53" t="str">
            <v>--</v>
          </cell>
          <cell r="Y53" t="str">
            <v>--</v>
          </cell>
          <cell r="Z53" t="str">
            <v>--</v>
          </cell>
          <cell r="AA53" t="str">
            <v>--</v>
          </cell>
          <cell r="AB53" t="str">
            <v>--</v>
          </cell>
          <cell r="AC53" t="str">
            <v>--</v>
          </cell>
          <cell r="AD53" t="str">
            <v>--</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t="str">
            <v>--</v>
          </cell>
          <cell r="AQ53" t="str">
            <v>--</v>
          </cell>
          <cell r="AR53" t="str">
            <v>--</v>
          </cell>
          <cell r="AS53" t="str">
            <v>--</v>
          </cell>
          <cell r="AT53" t="str">
            <v>--</v>
          </cell>
          <cell r="AU53" t="str">
            <v>--</v>
          </cell>
          <cell r="AV53" t="str">
            <v>--</v>
          </cell>
          <cell r="AW53" t="str">
            <v>--</v>
          </cell>
          <cell r="AX53" t="str">
            <v>--</v>
          </cell>
          <cell r="AY53" t="str">
            <v>--</v>
          </cell>
          <cell r="AZ53" t="str">
            <v>--</v>
          </cell>
          <cell r="BA53" t="str">
            <v>--</v>
          </cell>
          <cell r="BB53" t="str">
            <v>--</v>
          </cell>
          <cell r="BC53" t="str">
            <v>--</v>
          </cell>
          <cell r="BD53" t="str">
            <v>--</v>
          </cell>
          <cell r="BE53" t="str">
            <v>--</v>
          </cell>
          <cell r="BF53" t="str">
            <v>--</v>
          </cell>
          <cell r="BG53" t="str">
            <v>--</v>
          </cell>
          <cell r="BH53" t="str">
            <v>--</v>
          </cell>
          <cell r="BI53" t="str">
            <v>--</v>
          </cell>
          <cell r="BJ53" t="str">
            <v>--</v>
          </cell>
          <cell r="BK53" t="str">
            <v>--</v>
          </cell>
          <cell r="BL53" t="str">
            <v>--</v>
          </cell>
          <cell r="BM53" t="str">
            <v>--</v>
          </cell>
          <cell r="BN53" t="str">
            <v>--</v>
          </cell>
          <cell r="BO53" t="str">
            <v>--</v>
          </cell>
          <cell r="BP53" t="str">
            <v>--</v>
          </cell>
          <cell r="BQ53" t="str">
            <v>--</v>
          </cell>
          <cell r="BR53" t="str">
            <v>--</v>
          </cell>
          <cell r="BS53" t="str">
            <v>--</v>
          </cell>
          <cell r="BT53" t="str">
            <v>--</v>
          </cell>
          <cell r="BU53" t="str">
            <v>--</v>
          </cell>
          <cell r="BV53" t="str">
            <v>--</v>
          </cell>
          <cell r="BW53" t="str">
            <v>--</v>
          </cell>
          <cell r="BX53" t="str">
            <v>--</v>
          </cell>
          <cell r="BY53" t="str">
            <v>--</v>
          </cell>
          <cell r="BZ53" t="str">
            <v>--</v>
          </cell>
          <cell r="CA53" t="str">
            <v>--</v>
          </cell>
          <cell r="CB53" t="str">
            <v>--</v>
          </cell>
          <cell r="CC53" t="str">
            <v>--</v>
          </cell>
          <cell r="CD53" t="str">
            <v>--</v>
          </cell>
          <cell r="CE53" t="str">
            <v>--</v>
          </cell>
          <cell r="CF53" t="str">
            <v>--</v>
          </cell>
          <cell r="CG53" t="str">
            <v>--</v>
          </cell>
          <cell r="CH53" t="str">
            <v>--</v>
          </cell>
          <cell r="CI53" t="str">
            <v>--</v>
          </cell>
          <cell r="CJ53" t="str">
            <v>--</v>
          </cell>
          <cell r="CK53" t="str">
            <v>--</v>
          </cell>
          <cell r="CL53" t="str">
            <v>--</v>
          </cell>
          <cell r="CM53" t="str">
            <v>--</v>
          </cell>
          <cell r="CN53" t="str">
            <v>--</v>
          </cell>
          <cell r="CO53" t="str">
            <v>--</v>
          </cell>
          <cell r="CP53" t="str">
            <v>--</v>
          </cell>
          <cell r="CQ53" t="str">
            <v>--</v>
          </cell>
          <cell r="CR53" t="str">
            <v>--</v>
          </cell>
          <cell r="CS53" t="str">
            <v>--</v>
          </cell>
          <cell r="CT53" t="str">
            <v>--</v>
          </cell>
          <cell r="CU53" t="str">
            <v>--</v>
          </cell>
          <cell r="CV53" t="str">
            <v>--</v>
          </cell>
          <cell r="CW53" t="str">
            <v>--</v>
          </cell>
          <cell r="CX53" t="str">
            <v>--</v>
          </cell>
          <cell r="CY53" t="str">
            <v>--</v>
          </cell>
          <cell r="CZ53" t="str">
            <v>--</v>
          </cell>
          <cell r="DA53" t="str">
            <v>--</v>
          </cell>
          <cell r="DB53" t="str">
            <v>--</v>
          </cell>
          <cell r="DC53" t="str">
            <v>--</v>
          </cell>
          <cell r="DD53" t="str">
            <v>--</v>
          </cell>
          <cell r="DE53" t="str">
            <v>--</v>
          </cell>
          <cell r="DF53" t="str">
            <v>--</v>
          </cell>
          <cell r="DG53" t="str">
            <v>--</v>
          </cell>
          <cell r="DH53" t="str">
            <v>--</v>
          </cell>
          <cell r="DI53" t="str">
            <v>--</v>
          </cell>
          <cell r="DJ53" t="str">
            <v>--</v>
          </cell>
          <cell r="DK53" t="str">
            <v>--</v>
          </cell>
          <cell r="DL53" t="str">
            <v>--</v>
          </cell>
          <cell r="DM53" t="str">
            <v>--</v>
          </cell>
          <cell r="DN53" t="str">
            <v>--</v>
          </cell>
          <cell r="DO53" t="str">
            <v>--</v>
          </cell>
          <cell r="DP53" t="str">
            <v>--</v>
          </cell>
          <cell r="DQ53" t="str">
            <v>--</v>
          </cell>
          <cell r="DR53" t="str">
            <v>--</v>
          </cell>
          <cell r="DS53" t="str">
            <v>--</v>
          </cell>
          <cell r="DT53" t="str">
            <v>--</v>
          </cell>
          <cell r="DU53" t="str">
            <v>--</v>
          </cell>
          <cell r="DV53" t="str">
            <v>--</v>
          </cell>
          <cell r="DW53" t="str">
            <v>--</v>
          </cell>
          <cell r="DX53" t="str">
            <v>--</v>
          </cell>
          <cell r="DY53" t="str">
            <v>--</v>
          </cell>
          <cell r="DZ53" t="str">
            <v>--</v>
          </cell>
          <cell r="EA53" t="str">
            <v>--</v>
          </cell>
          <cell r="EB53" t="str">
            <v>--</v>
          </cell>
          <cell r="EC53" t="str">
            <v>--</v>
          </cell>
          <cell r="ED53" t="str">
            <v>--</v>
          </cell>
          <cell r="EE53" t="str">
            <v>--</v>
          </cell>
          <cell r="EF53" t="str">
            <v>--</v>
          </cell>
          <cell r="EG53" t="str">
            <v>--</v>
          </cell>
        </row>
        <row r="54">
          <cell r="A54" t="str">
            <v>00350226Students w/disabilities</v>
          </cell>
          <cell r="B54" t="str">
            <v>00350226D</v>
          </cell>
          <cell r="C54" t="str">
            <v>0035</v>
          </cell>
          <cell r="D54" t="str">
            <v>00350226</v>
          </cell>
          <cell r="E54" t="str">
            <v>Boston</v>
          </cell>
          <cell r="F54" t="str">
            <v>Mattahunt</v>
          </cell>
          <cell r="G54" t="str">
            <v>ES</v>
          </cell>
          <cell r="H54" t="str">
            <v>Boston - Mattahunt (00350226)</v>
          </cell>
          <cell r="I54" t="str">
            <v>Students w/disabilities</v>
          </cell>
          <cell r="J54" t="str">
            <v>00350226Students w/disabilities</v>
          </cell>
          <cell r="K54" t="str">
            <v>--</v>
          </cell>
          <cell r="L54">
            <v>47.6</v>
          </cell>
          <cell r="M54">
            <v>52</v>
          </cell>
          <cell r="N54">
            <v>55.8</v>
          </cell>
          <cell r="O54">
            <v>56.3</v>
          </cell>
          <cell r="P54">
            <v>55.9</v>
          </cell>
          <cell r="Q54">
            <v>60.7</v>
          </cell>
          <cell r="R54">
            <v>65.099999999999994</v>
          </cell>
          <cell r="S54">
            <v>69.400000000000006</v>
          </cell>
          <cell r="T54">
            <v>73.8</v>
          </cell>
          <cell r="U54">
            <v>43.4</v>
          </cell>
          <cell r="V54">
            <v>48.1</v>
          </cell>
          <cell r="W54">
            <v>43</v>
          </cell>
          <cell r="X54">
            <v>52.8</v>
          </cell>
          <cell r="Y54">
            <v>57.4</v>
          </cell>
          <cell r="Z54">
            <v>57.6</v>
          </cell>
          <cell r="AA54">
            <v>62.3</v>
          </cell>
          <cell r="AB54">
            <v>67</v>
          </cell>
          <cell r="AC54">
            <v>71.7</v>
          </cell>
          <cell r="AD54">
            <v>37.5</v>
          </cell>
          <cell r="AE54">
            <v>42.7</v>
          </cell>
          <cell r="AF54">
            <v>50</v>
          </cell>
          <cell r="AG54">
            <v>47.9</v>
          </cell>
          <cell r="AH54">
            <v>62.5</v>
          </cell>
          <cell r="AI54">
            <v>53.1</v>
          </cell>
          <cell r="AJ54">
            <v>58.3</v>
          </cell>
          <cell r="AK54">
            <v>63.5</v>
          </cell>
          <cell r="AL54">
            <v>68.8</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t="str">
            <v>--</v>
          </cell>
          <cell r="BI54" t="str">
            <v>--</v>
          </cell>
          <cell r="BJ54" t="str">
            <v>--</v>
          </cell>
          <cell r="BK54" t="str">
            <v>--</v>
          </cell>
          <cell r="BL54" t="str">
            <v>--</v>
          </cell>
          <cell r="BM54" t="str">
            <v>--</v>
          </cell>
          <cell r="BN54">
            <v>16.5</v>
          </cell>
          <cell r="BO54">
            <v>26.5</v>
          </cell>
          <cell r="BP54" t="str">
            <v>--</v>
          </cell>
          <cell r="BQ54">
            <v>26.5</v>
          </cell>
          <cell r="BR54">
            <v>37</v>
          </cell>
          <cell r="BS54">
            <v>36.5</v>
          </cell>
          <cell r="BT54">
            <v>46.5</v>
          </cell>
          <cell r="BU54">
            <v>51</v>
          </cell>
          <cell r="BV54">
            <v>51</v>
          </cell>
          <cell r="BW54">
            <v>23</v>
          </cell>
          <cell r="BX54">
            <v>33</v>
          </cell>
          <cell r="BY54" t="str">
            <v>--</v>
          </cell>
          <cell r="BZ54">
            <v>33</v>
          </cell>
          <cell r="CA54">
            <v>69</v>
          </cell>
          <cell r="CB54">
            <v>43</v>
          </cell>
          <cell r="CC54">
            <v>51</v>
          </cell>
          <cell r="CD54">
            <v>51</v>
          </cell>
          <cell r="CE54">
            <v>51</v>
          </cell>
          <cell r="CF54">
            <v>48.4</v>
          </cell>
          <cell r="CG54">
            <v>43.6</v>
          </cell>
          <cell r="CH54">
            <v>44.2</v>
          </cell>
          <cell r="CI54">
            <v>39.799999999999997</v>
          </cell>
          <cell r="CJ54">
            <v>44.1</v>
          </cell>
          <cell r="CK54">
            <v>39.700000000000003</v>
          </cell>
          <cell r="CL54">
            <v>35.700000000000003</v>
          </cell>
          <cell r="CM54">
            <v>32.1</v>
          </cell>
          <cell r="CN54">
            <v>28.9</v>
          </cell>
          <cell r="CO54">
            <v>55.7</v>
          </cell>
          <cell r="CP54">
            <v>50.1</v>
          </cell>
          <cell r="CQ54">
            <v>62.8</v>
          </cell>
          <cell r="CR54">
            <v>56.5</v>
          </cell>
          <cell r="CS54">
            <v>23.5</v>
          </cell>
          <cell r="CT54">
            <v>21.2</v>
          </cell>
          <cell r="CU54">
            <v>19</v>
          </cell>
          <cell r="CV54">
            <v>17.100000000000001</v>
          </cell>
          <cell r="CW54">
            <v>15.4</v>
          </cell>
          <cell r="CX54">
            <v>84.2</v>
          </cell>
          <cell r="CY54">
            <v>57.2</v>
          </cell>
          <cell r="CZ54">
            <v>47.1</v>
          </cell>
          <cell r="DA54" t="str">
            <v>--</v>
          </cell>
          <cell r="DB54">
            <v>50</v>
          </cell>
          <cell r="DC54" t="str">
            <v>--</v>
          </cell>
          <cell r="DD54" t="str">
            <v>--</v>
          </cell>
          <cell r="DE54" t="str">
            <v>--</v>
          </cell>
          <cell r="DF54" t="str">
            <v>--</v>
          </cell>
          <cell r="DG54">
            <v>0</v>
          </cell>
          <cell r="DH54">
            <v>1</v>
          </cell>
          <cell r="DI54">
            <v>0</v>
          </cell>
          <cell r="DJ54">
            <v>1</v>
          </cell>
          <cell r="DK54">
            <v>0</v>
          </cell>
          <cell r="DL54">
            <v>1</v>
          </cell>
          <cell r="DM54">
            <v>1.1000000000000001</v>
          </cell>
          <cell r="DN54">
            <v>1.2</v>
          </cell>
          <cell r="DO54">
            <v>1.3</v>
          </cell>
          <cell r="DP54">
            <v>0</v>
          </cell>
          <cell r="DQ54">
            <v>1</v>
          </cell>
          <cell r="DR54">
            <v>0</v>
          </cell>
          <cell r="DS54">
            <v>1</v>
          </cell>
          <cell r="DT54">
            <v>0</v>
          </cell>
          <cell r="DU54">
            <v>1</v>
          </cell>
          <cell r="DV54">
            <v>1.1000000000000001</v>
          </cell>
          <cell r="DW54">
            <v>1.2</v>
          </cell>
          <cell r="DX54">
            <v>1.3</v>
          </cell>
          <cell r="DY54">
            <v>0</v>
          </cell>
          <cell r="DZ54">
            <v>1</v>
          </cell>
          <cell r="EA54">
            <v>0</v>
          </cell>
          <cell r="EB54" t="str">
            <v>--</v>
          </cell>
          <cell r="EC54">
            <v>0</v>
          </cell>
          <cell r="ED54" t="str">
            <v>--</v>
          </cell>
          <cell r="EE54" t="str">
            <v>--</v>
          </cell>
          <cell r="EF54" t="str">
            <v>--</v>
          </cell>
          <cell r="EG54" t="str">
            <v>--</v>
          </cell>
        </row>
        <row r="55">
          <cell r="A55" t="str">
            <v>00350226Low income</v>
          </cell>
          <cell r="B55" t="str">
            <v>00350226F</v>
          </cell>
          <cell r="C55" t="str">
            <v>0035</v>
          </cell>
          <cell r="D55" t="str">
            <v>00350226</v>
          </cell>
          <cell r="E55" t="str">
            <v>Boston</v>
          </cell>
          <cell r="F55" t="str">
            <v>Mattahunt</v>
          </cell>
          <cell r="G55" t="str">
            <v>ES</v>
          </cell>
          <cell r="H55" t="str">
            <v>Boston - Mattahunt (00350226)</v>
          </cell>
          <cell r="I55" t="str">
            <v>Low income</v>
          </cell>
          <cell r="J55" t="str">
            <v>00350226Low income</v>
          </cell>
          <cell r="K55" t="str">
            <v>--</v>
          </cell>
          <cell r="L55">
            <v>58.8</v>
          </cell>
          <cell r="M55">
            <v>62.2</v>
          </cell>
          <cell r="N55">
            <v>56.7</v>
          </cell>
          <cell r="O55">
            <v>65.7</v>
          </cell>
          <cell r="P55">
            <v>56.9</v>
          </cell>
          <cell r="Q55">
            <v>69.099999999999994</v>
          </cell>
          <cell r="R55">
            <v>72.5</v>
          </cell>
          <cell r="S55">
            <v>76</v>
          </cell>
          <cell r="T55">
            <v>79.400000000000006</v>
          </cell>
          <cell r="U55">
            <v>53.6</v>
          </cell>
          <cell r="V55">
            <v>57.5</v>
          </cell>
          <cell r="W55">
            <v>52.4</v>
          </cell>
          <cell r="X55">
            <v>61.3</v>
          </cell>
          <cell r="Y55">
            <v>54.6</v>
          </cell>
          <cell r="Z55">
            <v>65.2</v>
          </cell>
          <cell r="AA55">
            <v>69.099999999999994</v>
          </cell>
          <cell r="AB55">
            <v>72.900000000000006</v>
          </cell>
          <cell r="AC55">
            <v>76.8</v>
          </cell>
          <cell r="AD55">
            <v>37.5</v>
          </cell>
          <cell r="AE55">
            <v>42.7</v>
          </cell>
          <cell r="AF55">
            <v>45.1</v>
          </cell>
          <cell r="AG55">
            <v>47.9</v>
          </cell>
          <cell r="AH55">
            <v>52.1</v>
          </cell>
          <cell r="AI55">
            <v>53.1</v>
          </cell>
          <cell r="AJ55">
            <v>58.3</v>
          </cell>
          <cell r="AK55">
            <v>63.5</v>
          </cell>
          <cell r="AL55">
            <v>68.8</v>
          </cell>
          <cell r="AM55" t="str">
            <v>--</v>
          </cell>
          <cell r="AN55" t="str">
            <v>--</v>
          </cell>
          <cell r="AO55" t="str">
            <v>--</v>
          </cell>
          <cell r="AP55" t="str">
            <v>--</v>
          </cell>
          <cell r="AQ55" t="str">
            <v>--</v>
          </cell>
          <cell r="AR55" t="str">
            <v>--</v>
          </cell>
          <cell r="AS55" t="str">
            <v>--</v>
          </cell>
          <cell r="AT55" t="str">
            <v>--</v>
          </cell>
          <cell r="AU55" t="str">
            <v>--</v>
          </cell>
          <cell r="AV55" t="str">
            <v>--</v>
          </cell>
          <cell r="AW55" t="str">
            <v>--</v>
          </cell>
          <cell r="AX55" t="str">
            <v>--</v>
          </cell>
          <cell r="AY55" t="str">
            <v>--</v>
          </cell>
          <cell r="AZ55" t="str">
            <v>--</v>
          </cell>
          <cell r="BA55" t="str">
            <v>--</v>
          </cell>
          <cell r="BB55" t="str">
            <v>--</v>
          </cell>
          <cell r="BC55" t="str">
            <v>--</v>
          </cell>
          <cell r="BD55" t="str">
            <v>--</v>
          </cell>
          <cell r="BE55" t="str">
            <v>--</v>
          </cell>
          <cell r="BF55" t="str">
            <v>--</v>
          </cell>
          <cell r="BG55" t="str">
            <v>--</v>
          </cell>
          <cell r="BH55" t="str">
            <v>--</v>
          </cell>
          <cell r="BI55" t="str">
            <v>--</v>
          </cell>
          <cell r="BJ55" t="str">
            <v>--</v>
          </cell>
          <cell r="BK55" t="str">
            <v>--</v>
          </cell>
          <cell r="BL55" t="str">
            <v>--</v>
          </cell>
          <cell r="BM55" t="str">
            <v>--</v>
          </cell>
          <cell r="BN55">
            <v>30</v>
          </cell>
          <cell r="BO55">
            <v>40</v>
          </cell>
          <cell r="BP55">
            <v>31</v>
          </cell>
          <cell r="BQ55">
            <v>41</v>
          </cell>
          <cell r="BR55">
            <v>52</v>
          </cell>
          <cell r="BS55">
            <v>51</v>
          </cell>
          <cell r="BT55">
            <v>51</v>
          </cell>
          <cell r="BU55">
            <v>51</v>
          </cell>
          <cell r="BV55">
            <v>51</v>
          </cell>
          <cell r="BW55">
            <v>36.5</v>
          </cell>
          <cell r="BX55">
            <v>46.5</v>
          </cell>
          <cell r="BY55">
            <v>45</v>
          </cell>
          <cell r="BZ55">
            <v>51</v>
          </cell>
          <cell r="CA55">
            <v>47.5</v>
          </cell>
          <cell r="CB55">
            <v>51</v>
          </cell>
          <cell r="CC55">
            <v>51</v>
          </cell>
          <cell r="CD55">
            <v>51</v>
          </cell>
          <cell r="CE55">
            <v>51</v>
          </cell>
          <cell r="CF55">
            <v>29.2</v>
          </cell>
          <cell r="CG55">
            <v>26.3</v>
          </cell>
          <cell r="CH55">
            <v>36.6</v>
          </cell>
          <cell r="CI55">
            <v>32.9</v>
          </cell>
          <cell r="CJ55">
            <v>35</v>
          </cell>
          <cell r="CK55">
            <v>31.5</v>
          </cell>
          <cell r="CL55">
            <v>28.4</v>
          </cell>
          <cell r="CM55">
            <v>25.5</v>
          </cell>
          <cell r="CN55">
            <v>23</v>
          </cell>
          <cell r="CO55">
            <v>38.799999999999997</v>
          </cell>
          <cell r="CP55">
            <v>34.9</v>
          </cell>
          <cell r="CQ55">
            <v>40.6</v>
          </cell>
          <cell r="CR55">
            <v>36.5</v>
          </cell>
          <cell r="CS55">
            <v>37.700000000000003</v>
          </cell>
          <cell r="CT55">
            <v>33.9</v>
          </cell>
          <cell r="CU55">
            <v>30.5</v>
          </cell>
          <cell r="CV55">
            <v>27.5</v>
          </cell>
          <cell r="CW55">
            <v>24.7</v>
          </cell>
          <cell r="CX55">
            <v>60.9</v>
          </cell>
          <cell r="CY55">
            <v>54.8</v>
          </cell>
          <cell r="CZ55">
            <v>44.6</v>
          </cell>
          <cell r="DA55">
            <v>40.1</v>
          </cell>
          <cell r="DB55">
            <v>36.200000000000003</v>
          </cell>
          <cell r="DC55">
            <v>32.6</v>
          </cell>
          <cell r="DD55">
            <v>29.3</v>
          </cell>
          <cell r="DE55">
            <v>26.4</v>
          </cell>
          <cell r="DF55">
            <v>23.8</v>
          </cell>
          <cell r="DG55">
            <v>0.5</v>
          </cell>
          <cell r="DH55">
            <v>0.6</v>
          </cell>
          <cell r="DI55">
            <v>0.6</v>
          </cell>
          <cell r="DJ55">
            <v>0.7</v>
          </cell>
          <cell r="DK55">
            <v>0.6</v>
          </cell>
          <cell r="DL55">
            <v>0.7</v>
          </cell>
          <cell r="DM55">
            <v>0.7</v>
          </cell>
          <cell r="DN55">
            <v>0.8</v>
          </cell>
          <cell r="DO55">
            <v>0.9</v>
          </cell>
          <cell r="DP55">
            <v>1.5</v>
          </cell>
          <cell r="DQ55">
            <v>1.7</v>
          </cell>
          <cell r="DR55">
            <v>1.2</v>
          </cell>
          <cell r="DS55">
            <v>1.3</v>
          </cell>
          <cell r="DT55">
            <v>1.6</v>
          </cell>
          <cell r="DU55">
            <v>1.8</v>
          </cell>
          <cell r="DV55">
            <v>1.9</v>
          </cell>
          <cell r="DW55">
            <v>2.1</v>
          </cell>
          <cell r="DX55">
            <v>2.2999999999999998</v>
          </cell>
          <cell r="DY55">
            <v>0</v>
          </cell>
          <cell r="DZ55">
            <v>1</v>
          </cell>
          <cell r="EA55">
            <v>0</v>
          </cell>
          <cell r="EB55">
            <v>1</v>
          </cell>
          <cell r="EC55">
            <v>0</v>
          </cell>
          <cell r="ED55">
            <v>1</v>
          </cell>
          <cell r="EE55">
            <v>1.1000000000000001</v>
          </cell>
          <cell r="EF55">
            <v>1.2</v>
          </cell>
          <cell r="EG55">
            <v>1.3</v>
          </cell>
        </row>
        <row r="56">
          <cell r="A56" t="str">
            <v>00350226Hispanic/Latino</v>
          </cell>
          <cell r="B56" t="str">
            <v>00350226H</v>
          </cell>
          <cell r="C56" t="str">
            <v>0035</v>
          </cell>
          <cell r="D56" t="str">
            <v>00350226</v>
          </cell>
          <cell r="E56" t="str">
            <v>Boston</v>
          </cell>
          <cell r="F56" t="str">
            <v>Mattahunt</v>
          </cell>
          <cell r="G56" t="str">
            <v>ES</v>
          </cell>
          <cell r="H56" t="str">
            <v>Boston - Mattahunt (00350226)</v>
          </cell>
          <cell r="I56" t="str">
            <v>Hispanic/Latino</v>
          </cell>
          <cell r="J56" t="str">
            <v>00350226Hispanic/Latino</v>
          </cell>
          <cell r="K56" t="str">
            <v>--</v>
          </cell>
          <cell r="L56">
            <v>55.6</v>
          </cell>
          <cell r="M56">
            <v>59.3</v>
          </cell>
          <cell r="N56">
            <v>64.599999999999994</v>
          </cell>
          <cell r="O56">
            <v>63</v>
          </cell>
          <cell r="P56">
            <v>58.9</v>
          </cell>
          <cell r="Q56">
            <v>66.7</v>
          </cell>
          <cell r="R56">
            <v>70.400000000000006</v>
          </cell>
          <cell r="S56">
            <v>74.099999999999994</v>
          </cell>
          <cell r="T56">
            <v>77.8</v>
          </cell>
          <cell r="U56">
            <v>51.7</v>
          </cell>
          <cell r="V56">
            <v>55.7</v>
          </cell>
          <cell r="W56">
            <v>52.4</v>
          </cell>
          <cell r="X56">
            <v>59.8</v>
          </cell>
          <cell r="Y56">
            <v>53.1</v>
          </cell>
          <cell r="Z56">
            <v>63.8</v>
          </cell>
          <cell r="AA56">
            <v>67.8</v>
          </cell>
          <cell r="AB56">
            <v>71.8</v>
          </cell>
          <cell r="AC56">
            <v>75.900000000000006</v>
          </cell>
          <cell r="AD56" t="str">
            <v>--</v>
          </cell>
          <cell r="AE56" t="str">
            <v>--</v>
          </cell>
          <cell r="AF56" t="str">
            <v>--</v>
          </cell>
          <cell r="AG56" t="str">
            <v>--</v>
          </cell>
          <cell r="AH56" t="str">
            <v>--</v>
          </cell>
          <cell r="AI56" t="str">
            <v>--</v>
          </cell>
          <cell r="AJ56" t="str">
            <v>--</v>
          </cell>
          <cell r="AK56" t="str">
            <v>--</v>
          </cell>
          <cell r="AL56" t="str">
            <v>--</v>
          </cell>
          <cell r="AM56" t="str">
            <v>--</v>
          </cell>
          <cell r="AN56" t="str">
            <v>--</v>
          </cell>
          <cell r="AO56" t="str">
            <v>--</v>
          </cell>
          <cell r="AP56" t="str">
            <v>--</v>
          </cell>
          <cell r="AQ56" t="str">
            <v>--</v>
          </cell>
          <cell r="AR56" t="str">
            <v>--</v>
          </cell>
          <cell r="AS56" t="str">
            <v>--</v>
          </cell>
          <cell r="AT56" t="str">
            <v>--</v>
          </cell>
          <cell r="AU56" t="str">
            <v>--</v>
          </cell>
          <cell r="AV56" t="str">
            <v>--</v>
          </cell>
          <cell r="AW56" t="str">
            <v>--</v>
          </cell>
          <cell r="AX56" t="str">
            <v>--</v>
          </cell>
          <cell r="AY56" t="str">
            <v>--</v>
          </cell>
          <cell r="AZ56" t="str">
            <v>--</v>
          </cell>
          <cell r="BA56" t="str">
            <v>--</v>
          </cell>
          <cell r="BB56" t="str">
            <v>--</v>
          </cell>
          <cell r="BC56" t="str">
            <v>--</v>
          </cell>
          <cell r="BD56" t="str">
            <v>--</v>
          </cell>
          <cell r="BE56" t="str">
            <v>--</v>
          </cell>
          <cell r="BF56" t="str">
            <v>--</v>
          </cell>
          <cell r="BG56" t="str">
            <v>--</v>
          </cell>
          <cell r="BH56" t="str">
            <v>--</v>
          </cell>
          <cell r="BI56" t="str">
            <v>--</v>
          </cell>
          <cell r="BJ56" t="str">
            <v>--</v>
          </cell>
          <cell r="BK56" t="str">
            <v>--</v>
          </cell>
          <cell r="BL56" t="str">
            <v>--</v>
          </cell>
          <cell r="BM56" t="str">
            <v>--</v>
          </cell>
          <cell r="BN56" t="str">
            <v>--</v>
          </cell>
          <cell r="BO56" t="str">
            <v>--</v>
          </cell>
          <cell r="BP56" t="str">
            <v>--</v>
          </cell>
          <cell r="BQ56" t="str">
            <v>--</v>
          </cell>
          <cell r="BR56" t="str">
            <v>--</v>
          </cell>
          <cell r="BS56" t="str">
            <v>--</v>
          </cell>
          <cell r="BT56" t="str">
            <v>--</v>
          </cell>
          <cell r="BU56" t="str">
            <v>--</v>
          </cell>
          <cell r="BV56" t="str">
            <v>--</v>
          </cell>
          <cell r="BW56" t="str">
            <v>--</v>
          </cell>
          <cell r="BX56" t="str">
            <v>--</v>
          </cell>
          <cell r="BY56" t="str">
            <v>--</v>
          </cell>
          <cell r="BZ56" t="str">
            <v>--</v>
          </cell>
          <cell r="CA56" t="str">
            <v>--</v>
          </cell>
          <cell r="CB56" t="str">
            <v>--</v>
          </cell>
          <cell r="CC56" t="str">
            <v>--</v>
          </cell>
          <cell r="CD56" t="str">
            <v>--</v>
          </cell>
          <cell r="CE56" t="str">
            <v>--</v>
          </cell>
          <cell r="CF56">
            <v>33.299999999999997</v>
          </cell>
          <cell r="CG56">
            <v>30</v>
          </cell>
          <cell r="CH56">
            <v>26.8</v>
          </cell>
          <cell r="CI56">
            <v>24.1</v>
          </cell>
          <cell r="CJ56">
            <v>24.4</v>
          </cell>
          <cell r="CK56">
            <v>22</v>
          </cell>
          <cell r="CL56">
            <v>19.8</v>
          </cell>
          <cell r="CM56">
            <v>17.8</v>
          </cell>
          <cell r="CN56">
            <v>16</v>
          </cell>
          <cell r="CO56">
            <v>40.9</v>
          </cell>
          <cell r="CP56">
            <v>36.799999999999997</v>
          </cell>
          <cell r="CQ56">
            <v>36.6</v>
          </cell>
          <cell r="CR56">
            <v>32.9</v>
          </cell>
          <cell r="CS56">
            <v>37.5</v>
          </cell>
          <cell r="CT56">
            <v>33.799999999999997</v>
          </cell>
          <cell r="CU56">
            <v>30.4</v>
          </cell>
          <cell r="CV56">
            <v>27.3</v>
          </cell>
          <cell r="CW56">
            <v>24.6</v>
          </cell>
          <cell r="CX56" t="str">
            <v>--</v>
          </cell>
          <cell r="CY56" t="str">
            <v>--</v>
          </cell>
          <cell r="CZ56" t="str">
            <v>--</v>
          </cell>
          <cell r="DA56" t="str">
            <v>--</v>
          </cell>
          <cell r="DB56" t="str">
            <v>--</v>
          </cell>
          <cell r="DC56" t="str">
            <v>--</v>
          </cell>
          <cell r="DD56" t="str">
            <v>--</v>
          </cell>
          <cell r="DE56" t="str">
            <v>--</v>
          </cell>
          <cell r="DF56" t="str">
            <v>--</v>
          </cell>
          <cell r="DG56">
            <v>0</v>
          </cell>
          <cell r="DH56">
            <v>1</v>
          </cell>
          <cell r="DI56">
            <v>0</v>
          </cell>
          <cell r="DJ56">
            <v>1</v>
          </cell>
          <cell r="DK56">
            <v>2.2000000000000002</v>
          </cell>
          <cell r="DL56">
            <v>2.4</v>
          </cell>
          <cell r="DM56">
            <v>2.7</v>
          </cell>
          <cell r="DN56">
            <v>2.9</v>
          </cell>
          <cell r="DO56">
            <v>3.2</v>
          </cell>
          <cell r="DP56">
            <v>0</v>
          </cell>
          <cell r="DQ56">
            <v>1</v>
          </cell>
          <cell r="DR56">
            <v>0</v>
          </cell>
          <cell r="DS56">
            <v>1</v>
          </cell>
          <cell r="DT56">
            <v>2.1</v>
          </cell>
          <cell r="DU56">
            <v>2.2999999999999998</v>
          </cell>
          <cell r="DV56">
            <v>2.5</v>
          </cell>
          <cell r="DW56">
            <v>2.8</v>
          </cell>
          <cell r="DX56">
            <v>3.1</v>
          </cell>
          <cell r="DY56" t="str">
            <v>--</v>
          </cell>
          <cell r="DZ56" t="str">
            <v>--</v>
          </cell>
          <cell r="EA56" t="str">
            <v>--</v>
          </cell>
          <cell r="EB56" t="str">
            <v>--</v>
          </cell>
          <cell r="EC56" t="str">
            <v>--</v>
          </cell>
          <cell r="ED56" t="str">
            <v>--</v>
          </cell>
          <cell r="EE56" t="str">
            <v>--</v>
          </cell>
          <cell r="EF56" t="str">
            <v>--</v>
          </cell>
          <cell r="EG56" t="str">
            <v>--</v>
          </cell>
        </row>
        <row r="57">
          <cell r="A57" t="str">
            <v>00350226ELL and Former ELL</v>
          </cell>
          <cell r="B57" t="str">
            <v>00350226L</v>
          </cell>
          <cell r="C57" t="str">
            <v>0035</v>
          </cell>
          <cell r="D57" t="str">
            <v>00350226</v>
          </cell>
          <cell r="E57" t="str">
            <v>Boston</v>
          </cell>
          <cell r="F57" t="str">
            <v>Mattahunt</v>
          </cell>
          <cell r="G57" t="str">
            <v>ES</v>
          </cell>
          <cell r="H57" t="str">
            <v>Boston - Mattahunt (00350226)</v>
          </cell>
          <cell r="I57" t="str">
            <v>ELL and Former ELL</v>
          </cell>
          <cell r="J57" t="str">
            <v>00350226ELL and Former ELL</v>
          </cell>
          <cell r="K57" t="str">
            <v>--</v>
          </cell>
          <cell r="L57">
            <v>55.8</v>
          </cell>
          <cell r="M57">
            <v>59.5</v>
          </cell>
          <cell r="N57">
            <v>50.3</v>
          </cell>
          <cell r="O57">
            <v>63.2</v>
          </cell>
          <cell r="P57">
            <v>51.9</v>
          </cell>
          <cell r="Q57">
            <v>66.900000000000006</v>
          </cell>
          <cell r="R57">
            <v>70.5</v>
          </cell>
          <cell r="S57">
            <v>74.2</v>
          </cell>
          <cell r="T57">
            <v>77.900000000000006</v>
          </cell>
          <cell r="U57">
            <v>55.1</v>
          </cell>
          <cell r="V57">
            <v>58.8</v>
          </cell>
          <cell r="W57">
            <v>48.1</v>
          </cell>
          <cell r="X57">
            <v>62.6</v>
          </cell>
          <cell r="Y57">
            <v>50.6</v>
          </cell>
          <cell r="Z57">
            <v>66.3</v>
          </cell>
          <cell r="AA57">
            <v>70.099999999999994</v>
          </cell>
          <cell r="AB57">
            <v>73.8</v>
          </cell>
          <cell r="AC57">
            <v>77.599999999999994</v>
          </cell>
          <cell r="AD57">
            <v>32.5</v>
          </cell>
          <cell r="AE57">
            <v>38.1</v>
          </cell>
          <cell r="AF57">
            <v>41.7</v>
          </cell>
          <cell r="AG57">
            <v>43.8</v>
          </cell>
          <cell r="AH57">
            <v>52.3</v>
          </cell>
          <cell r="AI57">
            <v>49.4</v>
          </cell>
          <cell r="AJ57">
            <v>55</v>
          </cell>
          <cell r="AK57">
            <v>60.6</v>
          </cell>
          <cell r="AL57">
            <v>66.3</v>
          </cell>
          <cell r="AM57" t="str">
            <v>--</v>
          </cell>
          <cell r="AN57" t="str">
            <v>--</v>
          </cell>
          <cell r="AO57" t="str">
            <v>--</v>
          </cell>
          <cell r="AP57" t="str">
            <v>--</v>
          </cell>
          <cell r="AQ57" t="str">
            <v>--</v>
          </cell>
          <cell r="AR57" t="str">
            <v>--</v>
          </cell>
          <cell r="AS57" t="str">
            <v>--</v>
          </cell>
          <cell r="AT57" t="str">
            <v>--</v>
          </cell>
          <cell r="AU57" t="str">
            <v>--</v>
          </cell>
          <cell r="AV57" t="str">
            <v>--</v>
          </cell>
          <cell r="AW57" t="str">
            <v>--</v>
          </cell>
          <cell r="AX57" t="str">
            <v>--</v>
          </cell>
          <cell r="AY57" t="str">
            <v>--</v>
          </cell>
          <cell r="AZ57" t="str">
            <v>--</v>
          </cell>
          <cell r="BA57" t="str">
            <v>--</v>
          </cell>
          <cell r="BB57" t="str">
            <v>--</v>
          </cell>
          <cell r="BC57" t="str">
            <v>--</v>
          </cell>
          <cell r="BD57" t="str">
            <v>--</v>
          </cell>
          <cell r="BE57" t="str">
            <v>--</v>
          </cell>
          <cell r="BF57" t="str">
            <v>--</v>
          </cell>
          <cell r="BG57" t="str">
            <v>--</v>
          </cell>
          <cell r="BH57" t="str">
            <v>--</v>
          </cell>
          <cell r="BI57" t="str">
            <v>--</v>
          </cell>
          <cell r="BJ57" t="str">
            <v>--</v>
          </cell>
          <cell r="BK57" t="str">
            <v>--</v>
          </cell>
          <cell r="BL57" t="str">
            <v>--</v>
          </cell>
          <cell r="BM57" t="str">
            <v>--</v>
          </cell>
          <cell r="BN57">
            <v>18.5</v>
          </cell>
          <cell r="BO57">
            <v>28.5</v>
          </cell>
          <cell r="BP57">
            <v>25</v>
          </cell>
          <cell r="BQ57">
            <v>35</v>
          </cell>
          <cell r="BR57">
            <v>56</v>
          </cell>
          <cell r="BS57">
            <v>51</v>
          </cell>
          <cell r="BT57">
            <v>51</v>
          </cell>
          <cell r="BU57">
            <v>51</v>
          </cell>
          <cell r="BV57">
            <v>51</v>
          </cell>
          <cell r="BW57">
            <v>33.5</v>
          </cell>
          <cell r="BX57">
            <v>43.5</v>
          </cell>
          <cell r="BY57">
            <v>38.5</v>
          </cell>
          <cell r="BZ57">
            <v>48.5</v>
          </cell>
          <cell r="CA57">
            <v>47</v>
          </cell>
          <cell r="CB57">
            <v>51</v>
          </cell>
          <cell r="CC57">
            <v>51</v>
          </cell>
          <cell r="CD57">
            <v>51</v>
          </cell>
          <cell r="CE57">
            <v>51</v>
          </cell>
          <cell r="CF57">
            <v>33.299999999999997</v>
          </cell>
          <cell r="CG57">
            <v>30</v>
          </cell>
          <cell r="CH57">
            <v>43.4</v>
          </cell>
          <cell r="CI57">
            <v>39.1</v>
          </cell>
          <cell r="CJ57">
            <v>39</v>
          </cell>
          <cell r="CK57">
            <v>35.1</v>
          </cell>
          <cell r="CL57">
            <v>31.6</v>
          </cell>
          <cell r="CM57">
            <v>28.4</v>
          </cell>
          <cell r="CN57">
            <v>25.6</v>
          </cell>
          <cell r="CO57">
            <v>39.700000000000003</v>
          </cell>
          <cell r="CP57">
            <v>35.700000000000003</v>
          </cell>
          <cell r="CQ57">
            <v>47.4</v>
          </cell>
          <cell r="CR57">
            <v>42.7</v>
          </cell>
          <cell r="CS57">
            <v>40</v>
          </cell>
          <cell r="CT57">
            <v>36</v>
          </cell>
          <cell r="CU57">
            <v>32.4</v>
          </cell>
          <cell r="CV57">
            <v>29.2</v>
          </cell>
          <cell r="CW57">
            <v>26.2</v>
          </cell>
          <cell r="CX57">
            <v>65</v>
          </cell>
          <cell r="CY57">
            <v>58.5</v>
          </cell>
          <cell r="CZ57">
            <v>47.6</v>
          </cell>
          <cell r="DA57">
            <v>42.8</v>
          </cell>
          <cell r="DB57">
            <v>40.9</v>
          </cell>
          <cell r="DC57">
            <v>36.799999999999997</v>
          </cell>
          <cell r="DD57">
            <v>33.1</v>
          </cell>
          <cell r="DE57">
            <v>29.8</v>
          </cell>
          <cell r="DF57">
            <v>26.8</v>
          </cell>
          <cell r="DG57">
            <v>1.4</v>
          </cell>
          <cell r="DH57">
            <v>1.5</v>
          </cell>
          <cell r="DI57">
            <v>0</v>
          </cell>
          <cell r="DJ57">
            <v>1</v>
          </cell>
          <cell r="DK57">
            <v>2.6</v>
          </cell>
          <cell r="DL57">
            <v>2.9</v>
          </cell>
          <cell r="DM57">
            <v>3.1</v>
          </cell>
          <cell r="DN57">
            <v>3.5</v>
          </cell>
          <cell r="DO57">
            <v>3.8</v>
          </cell>
          <cell r="DP57">
            <v>4.4000000000000004</v>
          </cell>
          <cell r="DQ57">
            <v>4.8</v>
          </cell>
          <cell r="DR57">
            <v>1.3</v>
          </cell>
          <cell r="DS57">
            <v>1.4</v>
          </cell>
          <cell r="DT57">
            <v>5</v>
          </cell>
          <cell r="DU57">
            <v>5.5</v>
          </cell>
          <cell r="DV57">
            <v>6.1</v>
          </cell>
          <cell r="DW57">
            <v>6.7</v>
          </cell>
          <cell r="DX57">
            <v>7.3</v>
          </cell>
          <cell r="DY57">
            <v>0</v>
          </cell>
          <cell r="DZ57">
            <v>1</v>
          </cell>
          <cell r="EA57">
            <v>0</v>
          </cell>
          <cell r="EB57">
            <v>1</v>
          </cell>
          <cell r="EC57">
            <v>4.5</v>
          </cell>
          <cell r="ED57">
            <v>5</v>
          </cell>
          <cell r="EE57">
            <v>5.4</v>
          </cell>
          <cell r="EF57">
            <v>6</v>
          </cell>
          <cell r="EG57">
            <v>6.6</v>
          </cell>
        </row>
        <row r="58">
          <cell r="A58" t="str">
            <v>00350226Multi-race, Non-Hisp./Lat.</v>
          </cell>
          <cell r="B58" t="str">
            <v>00350226M</v>
          </cell>
          <cell r="C58" t="str">
            <v>0035</v>
          </cell>
          <cell r="D58" t="str">
            <v>00350226</v>
          </cell>
          <cell r="E58" t="str">
            <v>Boston</v>
          </cell>
          <cell r="F58" t="str">
            <v>Mattahunt</v>
          </cell>
          <cell r="G58" t="str">
            <v>ES</v>
          </cell>
          <cell r="H58" t="str">
            <v>Boston - Mattahunt (00350226)</v>
          </cell>
          <cell r="I58" t="str">
            <v>Multi-race, Non-Hisp./Lat.</v>
          </cell>
          <cell r="J58" t="str">
            <v>00350226Multi-race, Non-Hisp./Lat.</v>
          </cell>
          <cell r="K58" t="str">
            <v>Level 3</v>
          </cell>
          <cell r="L58" t="str">
            <v>--</v>
          </cell>
          <cell r="M58" t="str">
            <v>--</v>
          </cell>
          <cell r="N58" t="str">
            <v>--</v>
          </cell>
          <cell r="O58" t="str">
            <v>--</v>
          </cell>
          <cell r="P58" t="str">
            <v>--</v>
          </cell>
          <cell r="Q58" t="str">
            <v>--</v>
          </cell>
          <cell r="R58" t="str">
            <v>--</v>
          </cell>
          <cell r="S58" t="str">
            <v>--</v>
          </cell>
          <cell r="T58" t="str">
            <v>--</v>
          </cell>
          <cell r="U58" t="str">
            <v>--</v>
          </cell>
          <cell r="V58" t="str">
            <v>--</v>
          </cell>
          <cell r="W58" t="str">
            <v>--</v>
          </cell>
          <cell r="X58" t="str">
            <v>--</v>
          </cell>
          <cell r="Y58" t="str">
            <v>--</v>
          </cell>
          <cell r="Z58" t="str">
            <v>--</v>
          </cell>
          <cell r="AA58" t="str">
            <v>--</v>
          </cell>
          <cell r="AB58" t="str">
            <v>--</v>
          </cell>
          <cell r="AC58" t="str">
            <v>--</v>
          </cell>
          <cell r="AD58" t="str">
            <v>--</v>
          </cell>
          <cell r="AE58" t="str">
            <v>--</v>
          </cell>
          <cell r="AF58" t="str">
            <v>--</v>
          </cell>
          <cell r="AG58" t="str">
            <v>--</v>
          </cell>
          <cell r="AH58" t="str">
            <v>--</v>
          </cell>
          <cell r="AI58" t="str">
            <v>--</v>
          </cell>
          <cell r="AJ58" t="str">
            <v>--</v>
          </cell>
          <cell r="AK58" t="str">
            <v>--</v>
          </cell>
          <cell r="AL58" t="str">
            <v>--</v>
          </cell>
          <cell r="AM58" t="str">
            <v>--</v>
          </cell>
          <cell r="AN58" t="str">
            <v>--</v>
          </cell>
          <cell r="AO58" t="str">
            <v>--</v>
          </cell>
          <cell r="AP58" t="str">
            <v>--</v>
          </cell>
          <cell r="AQ58" t="str">
            <v>--</v>
          </cell>
          <cell r="AR58" t="str">
            <v>--</v>
          </cell>
          <cell r="AS58" t="str">
            <v>--</v>
          </cell>
          <cell r="AT58" t="str">
            <v>--</v>
          </cell>
          <cell r="AU58" t="str">
            <v>--</v>
          </cell>
          <cell r="AV58" t="str">
            <v>--</v>
          </cell>
          <cell r="AW58" t="str">
            <v>--</v>
          </cell>
          <cell r="AX58" t="str">
            <v>--</v>
          </cell>
          <cell r="AY58" t="str">
            <v>--</v>
          </cell>
          <cell r="AZ58" t="str">
            <v>--</v>
          </cell>
          <cell r="BA58" t="str">
            <v>--</v>
          </cell>
          <cell r="BB58" t="str">
            <v>--</v>
          </cell>
          <cell r="BC58" t="str">
            <v>--</v>
          </cell>
          <cell r="BD58" t="str">
            <v>--</v>
          </cell>
          <cell r="BE58" t="str">
            <v>--</v>
          </cell>
          <cell r="BF58" t="str">
            <v>--</v>
          </cell>
          <cell r="BG58" t="str">
            <v>--</v>
          </cell>
          <cell r="BH58" t="str">
            <v>--</v>
          </cell>
          <cell r="BI58" t="str">
            <v>--</v>
          </cell>
          <cell r="BJ58" t="str">
            <v>--</v>
          </cell>
          <cell r="BK58" t="str">
            <v>--</v>
          </cell>
          <cell r="BL58" t="str">
            <v>--</v>
          </cell>
          <cell r="BM58" t="str">
            <v>--</v>
          </cell>
          <cell r="BN58" t="str">
            <v>--</v>
          </cell>
          <cell r="BO58" t="str">
            <v>--</v>
          </cell>
          <cell r="BP58" t="str">
            <v>--</v>
          </cell>
          <cell r="BQ58" t="str">
            <v>--</v>
          </cell>
          <cell r="BR58" t="str">
            <v>--</v>
          </cell>
          <cell r="BS58" t="str">
            <v>--</v>
          </cell>
          <cell r="BT58" t="str">
            <v>--</v>
          </cell>
          <cell r="BU58" t="str">
            <v>--</v>
          </cell>
          <cell r="BV58" t="str">
            <v>--</v>
          </cell>
          <cell r="BW58" t="str">
            <v>--</v>
          </cell>
          <cell r="BX58" t="str">
            <v>--</v>
          </cell>
          <cell r="BY58" t="str">
            <v>--</v>
          </cell>
          <cell r="BZ58" t="str">
            <v>--</v>
          </cell>
          <cell r="CA58" t="str">
            <v>--</v>
          </cell>
          <cell r="CB58" t="str">
            <v>--</v>
          </cell>
          <cell r="CC58" t="str">
            <v>--</v>
          </cell>
          <cell r="CD58" t="str">
            <v>--</v>
          </cell>
          <cell r="CE58" t="str">
            <v>--</v>
          </cell>
          <cell r="CF58" t="str">
            <v>--</v>
          </cell>
          <cell r="CG58" t="str">
            <v>--</v>
          </cell>
          <cell r="CH58" t="str">
            <v>--</v>
          </cell>
          <cell r="CI58" t="str">
            <v>--</v>
          </cell>
          <cell r="CJ58" t="str">
            <v>--</v>
          </cell>
          <cell r="CK58" t="str">
            <v>--</v>
          </cell>
          <cell r="CL58" t="str">
            <v>--</v>
          </cell>
          <cell r="CM58" t="str">
            <v>--</v>
          </cell>
          <cell r="CN58" t="str">
            <v>--</v>
          </cell>
          <cell r="CO58" t="str">
            <v>--</v>
          </cell>
          <cell r="CP58" t="str">
            <v>--</v>
          </cell>
          <cell r="CQ58" t="str">
            <v>--</v>
          </cell>
          <cell r="CR58" t="str">
            <v>--</v>
          </cell>
          <cell r="CS58" t="str">
            <v>--</v>
          </cell>
          <cell r="CT58" t="str">
            <v>--</v>
          </cell>
          <cell r="CU58" t="str">
            <v>--</v>
          </cell>
          <cell r="CV58" t="str">
            <v>--</v>
          </cell>
          <cell r="CW58" t="str">
            <v>--</v>
          </cell>
          <cell r="CX58" t="str">
            <v>--</v>
          </cell>
          <cell r="CY58" t="str">
            <v>--</v>
          </cell>
          <cell r="CZ58" t="str">
            <v>--</v>
          </cell>
          <cell r="DA58" t="str">
            <v>--</v>
          </cell>
          <cell r="DB58" t="str">
            <v>--</v>
          </cell>
          <cell r="DC58" t="str">
            <v>--</v>
          </cell>
          <cell r="DD58" t="str">
            <v>--</v>
          </cell>
          <cell r="DE58" t="str">
            <v>--</v>
          </cell>
          <cell r="DF58" t="str">
            <v>--</v>
          </cell>
          <cell r="DG58" t="str">
            <v>--</v>
          </cell>
          <cell r="DH58" t="str">
            <v>--</v>
          </cell>
          <cell r="DI58" t="str">
            <v>--</v>
          </cell>
          <cell r="DJ58" t="str">
            <v>--</v>
          </cell>
          <cell r="DK58" t="str">
            <v>--</v>
          </cell>
          <cell r="DL58" t="str">
            <v>--</v>
          </cell>
          <cell r="DM58" t="str">
            <v>--</v>
          </cell>
          <cell r="DN58" t="str">
            <v>--</v>
          </cell>
          <cell r="DO58" t="str">
            <v>--</v>
          </cell>
          <cell r="DP58" t="str">
            <v>--</v>
          </cell>
          <cell r="DQ58" t="str">
            <v>--</v>
          </cell>
          <cell r="DR58" t="str">
            <v>--</v>
          </cell>
          <cell r="DS58" t="str">
            <v>--</v>
          </cell>
          <cell r="DT58" t="str">
            <v>--</v>
          </cell>
          <cell r="DU58" t="str">
            <v>--</v>
          </cell>
          <cell r="DV58" t="str">
            <v>--</v>
          </cell>
          <cell r="DW58" t="str">
            <v>--</v>
          </cell>
          <cell r="DX58" t="str">
            <v>--</v>
          </cell>
          <cell r="DY58" t="str">
            <v>--</v>
          </cell>
          <cell r="DZ58" t="str">
            <v>--</v>
          </cell>
          <cell r="EA58" t="str">
            <v>--</v>
          </cell>
          <cell r="EB58" t="str">
            <v>--</v>
          </cell>
          <cell r="EC58" t="str">
            <v>--</v>
          </cell>
          <cell r="ED58" t="str">
            <v>--</v>
          </cell>
          <cell r="EE58" t="str">
            <v>--</v>
          </cell>
          <cell r="EF58" t="str">
            <v>--</v>
          </cell>
          <cell r="EG58" t="str">
            <v>--</v>
          </cell>
        </row>
        <row r="59">
          <cell r="A59" t="str">
            <v>00350226Amer. Ind. or Alaska Nat.</v>
          </cell>
          <cell r="B59" t="str">
            <v>00350226N</v>
          </cell>
          <cell r="C59" t="str">
            <v>0035</v>
          </cell>
          <cell r="D59" t="str">
            <v>00350226</v>
          </cell>
          <cell r="E59" t="str">
            <v>Boston</v>
          </cell>
          <cell r="F59" t="str">
            <v>Mattahunt</v>
          </cell>
          <cell r="G59" t="str">
            <v>ES</v>
          </cell>
          <cell r="H59" t="str">
            <v>Boston - Mattahunt (00350226)</v>
          </cell>
          <cell r="I59" t="str">
            <v>Amer. Ind. or Alaska Nat.</v>
          </cell>
          <cell r="J59" t="str">
            <v>00350226Amer. Ind. or Alaska Nat.</v>
          </cell>
          <cell r="K59" t="str">
            <v>--</v>
          </cell>
          <cell r="L59" t="str">
            <v>--</v>
          </cell>
          <cell r="M59" t="str">
            <v>--</v>
          </cell>
          <cell r="N59" t="str">
            <v>--</v>
          </cell>
          <cell r="O59" t="str">
            <v>--</v>
          </cell>
          <cell r="P59" t="str">
            <v>--</v>
          </cell>
          <cell r="Q59" t="str">
            <v>--</v>
          </cell>
          <cell r="R59" t="str">
            <v>--</v>
          </cell>
          <cell r="S59" t="str">
            <v>--</v>
          </cell>
          <cell r="T59" t="str">
            <v>--</v>
          </cell>
          <cell r="U59" t="str">
            <v>--</v>
          </cell>
          <cell r="V59" t="str">
            <v>--</v>
          </cell>
          <cell r="W59" t="str">
            <v>--</v>
          </cell>
          <cell r="X59" t="str">
            <v>--</v>
          </cell>
          <cell r="Y59" t="str">
            <v>--</v>
          </cell>
          <cell r="Z59" t="str">
            <v>--</v>
          </cell>
          <cell r="AA59" t="str">
            <v>--</v>
          </cell>
          <cell r="AB59" t="str">
            <v>--</v>
          </cell>
          <cell r="AC59" t="str">
            <v>--</v>
          </cell>
          <cell r="AD59" t="str">
            <v>--</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t="str">
            <v>--</v>
          </cell>
          <cell r="AQ59" t="str">
            <v>--</v>
          </cell>
          <cell r="AR59" t="str">
            <v>--</v>
          </cell>
          <cell r="AS59" t="str">
            <v>--</v>
          </cell>
          <cell r="AT59" t="str">
            <v>--</v>
          </cell>
          <cell r="AU59" t="str">
            <v>--</v>
          </cell>
          <cell r="AV59" t="str">
            <v>--</v>
          </cell>
          <cell r="AW59" t="str">
            <v>--</v>
          </cell>
          <cell r="AX59" t="str">
            <v>--</v>
          </cell>
          <cell r="AY59" t="str">
            <v>--</v>
          </cell>
          <cell r="AZ59" t="str">
            <v>--</v>
          </cell>
          <cell r="BA59" t="str">
            <v>--</v>
          </cell>
          <cell r="BB59" t="str">
            <v>--</v>
          </cell>
          <cell r="BC59" t="str">
            <v>--</v>
          </cell>
          <cell r="BD59" t="str">
            <v>--</v>
          </cell>
          <cell r="BE59" t="str">
            <v>--</v>
          </cell>
          <cell r="BF59" t="str">
            <v>--</v>
          </cell>
          <cell r="BG59" t="str">
            <v>--</v>
          </cell>
          <cell r="BH59" t="str">
            <v>--</v>
          </cell>
          <cell r="BI59" t="str">
            <v>--</v>
          </cell>
          <cell r="BJ59" t="str">
            <v>--</v>
          </cell>
          <cell r="BK59" t="str">
            <v>--</v>
          </cell>
          <cell r="BL59" t="str">
            <v>--</v>
          </cell>
          <cell r="BM59" t="str">
            <v>--</v>
          </cell>
          <cell r="BN59" t="str">
            <v>--</v>
          </cell>
          <cell r="BO59" t="str">
            <v>--</v>
          </cell>
          <cell r="BP59" t="str">
            <v>--</v>
          </cell>
          <cell r="BQ59" t="str">
            <v>--</v>
          </cell>
          <cell r="BR59" t="str">
            <v>--</v>
          </cell>
          <cell r="BS59" t="str">
            <v>--</v>
          </cell>
          <cell r="BT59" t="str">
            <v>--</v>
          </cell>
          <cell r="BU59" t="str">
            <v>--</v>
          </cell>
          <cell r="BV59" t="str">
            <v>--</v>
          </cell>
          <cell r="BW59" t="str">
            <v>--</v>
          </cell>
          <cell r="BX59" t="str">
            <v>--</v>
          </cell>
          <cell r="BY59" t="str">
            <v>--</v>
          </cell>
          <cell r="BZ59" t="str">
            <v>--</v>
          </cell>
          <cell r="CA59" t="str">
            <v>--</v>
          </cell>
          <cell r="CB59" t="str">
            <v>--</v>
          </cell>
          <cell r="CC59" t="str">
            <v>--</v>
          </cell>
          <cell r="CD59" t="str">
            <v>--</v>
          </cell>
          <cell r="CE59" t="str">
            <v>--</v>
          </cell>
          <cell r="CF59" t="str">
            <v>--</v>
          </cell>
          <cell r="CG59" t="str">
            <v>--</v>
          </cell>
          <cell r="CH59" t="str">
            <v>--</v>
          </cell>
          <cell r="CI59" t="str">
            <v>--</v>
          </cell>
          <cell r="CJ59" t="str">
            <v>--</v>
          </cell>
          <cell r="CK59" t="str">
            <v>--</v>
          </cell>
          <cell r="CL59" t="str">
            <v>--</v>
          </cell>
          <cell r="CM59" t="str">
            <v>--</v>
          </cell>
          <cell r="CN59" t="str">
            <v>--</v>
          </cell>
          <cell r="CO59" t="str">
            <v>--</v>
          </cell>
          <cell r="CP59" t="str">
            <v>--</v>
          </cell>
          <cell r="CQ59" t="str">
            <v>--</v>
          </cell>
          <cell r="CR59" t="str">
            <v>--</v>
          </cell>
          <cell r="CS59" t="str">
            <v>--</v>
          </cell>
          <cell r="CT59" t="str">
            <v>--</v>
          </cell>
          <cell r="CU59" t="str">
            <v>--</v>
          </cell>
          <cell r="CV59" t="str">
            <v>--</v>
          </cell>
          <cell r="CW59" t="str">
            <v>--</v>
          </cell>
          <cell r="CX59" t="str">
            <v>--</v>
          </cell>
          <cell r="CY59" t="str">
            <v>--</v>
          </cell>
          <cell r="CZ59" t="str">
            <v>--</v>
          </cell>
          <cell r="DA59" t="str">
            <v>--</v>
          </cell>
          <cell r="DB59" t="str">
            <v>--</v>
          </cell>
          <cell r="DC59" t="str">
            <v>--</v>
          </cell>
          <cell r="DD59" t="str">
            <v>--</v>
          </cell>
          <cell r="DE59" t="str">
            <v>--</v>
          </cell>
          <cell r="DF59" t="str">
            <v>--</v>
          </cell>
          <cell r="DG59" t="str">
            <v>--</v>
          </cell>
          <cell r="DH59" t="str">
            <v>--</v>
          </cell>
          <cell r="DI59" t="str">
            <v>--</v>
          </cell>
          <cell r="DJ59" t="str">
            <v>--</v>
          </cell>
          <cell r="DK59" t="str">
            <v>--</v>
          </cell>
          <cell r="DL59" t="str">
            <v>--</v>
          </cell>
          <cell r="DM59" t="str">
            <v>--</v>
          </cell>
          <cell r="DN59" t="str">
            <v>--</v>
          </cell>
          <cell r="DO59" t="str">
            <v>--</v>
          </cell>
          <cell r="DP59" t="str">
            <v>--</v>
          </cell>
          <cell r="DQ59" t="str">
            <v>--</v>
          </cell>
          <cell r="DR59" t="str">
            <v>--</v>
          </cell>
          <cell r="DS59" t="str">
            <v>--</v>
          </cell>
          <cell r="DT59" t="str">
            <v>--</v>
          </cell>
          <cell r="DU59" t="str">
            <v>--</v>
          </cell>
          <cell r="DV59" t="str">
            <v>--</v>
          </cell>
          <cell r="DW59" t="str">
            <v>--</v>
          </cell>
          <cell r="DX59" t="str">
            <v>--</v>
          </cell>
          <cell r="DY59" t="str">
            <v>--</v>
          </cell>
          <cell r="DZ59" t="str">
            <v>--</v>
          </cell>
          <cell r="EA59" t="str">
            <v>--</v>
          </cell>
          <cell r="EB59" t="str">
            <v>--</v>
          </cell>
          <cell r="EC59" t="str">
            <v>--</v>
          </cell>
          <cell r="ED59" t="str">
            <v>--</v>
          </cell>
          <cell r="EE59" t="str">
            <v>--</v>
          </cell>
          <cell r="EF59" t="str">
            <v>--</v>
          </cell>
          <cell r="EG59" t="str">
            <v>--</v>
          </cell>
        </row>
        <row r="60">
          <cell r="A60" t="str">
            <v>00350226Nat. Haw. or Pacif. Isl.</v>
          </cell>
          <cell r="B60" t="str">
            <v>00350226P</v>
          </cell>
          <cell r="C60" t="str">
            <v>0035</v>
          </cell>
          <cell r="D60" t="str">
            <v>00350226</v>
          </cell>
          <cell r="E60" t="str">
            <v>Boston</v>
          </cell>
          <cell r="F60" t="str">
            <v>Mattahunt</v>
          </cell>
          <cell r="G60" t="str">
            <v>ES</v>
          </cell>
          <cell r="H60" t="str">
            <v>Boston - Mattahunt (00350226)</v>
          </cell>
          <cell r="I60" t="str">
            <v>Nat. Haw. or Pacif. Isl.</v>
          </cell>
          <cell r="J60" t="str">
            <v>00350226Nat. Haw. or Pacif. Isl.</v>
          </cell>
          <cell r="K60" t="str">
            <v>Level 3</v>
          </cell>
          <cell r="L60" t="str">
            <v>--</v>
          </cell>
          <cell r="M60" t="str">
            <v>--</v>
          </cell>
          <cell r="N60" t="str">
            <v>--</v>
          </cell>
          <cell r="O60" t="str">
            <v>--</v>
          </cell>
          <cell r="P60" t="str">
            <v>--</v>
          </cell>
          <cell r="Q60" t="str">
            <v>--</v>
          </cell>
          <cell r="R60" t="str">
            <v>--</v>
          </cell>
          <cell r="S60" t="str">
            <v>--</v>
          </cell>
          <cell r="T60" t="str">
            <v>--</v>
          </cell>
          <cell r="U60" t="str">
            <v>--</v>
          </cell>
          <cell r="V60" t="str">
            <v>--</v>
          </cell>
          <cell r="W60" t="str">
            <v>--</v>
          </cell>
          <cell r="X60" t="str">
            <v>--</v>
          </cell>
          <cell r="Y60" t="str">
            <v>--</v>
          </cell>
          <cell r="Z60" t="str">
            <v>--</v>
          </cell>
          <cell r="AA60" t="str">
            <v>--</v>
          </cell>
          <cell r="AB60" t="str">
            <v>--</v>
          </cell>
          <cell r="AC60" t="str">
            <v>--</v>
          </cell>
          <cell r="AD60" t="str">
            <v>--</v>
          </cell>
          <cell r="AE60" t="str">
            <v>--</v>
          </cell>
          <cell r="AF60" t="str">
            <v>--</v>
          </cell>
          <cell r="AG60" t="str">
            <v>--</v>
          </cell>
          <cell r="AH60" t="str">
            <v>--</v>
          </cell>
          <cell r="AI60" t="str">
            <v>--</v>
          </cell>
          <cell r="AJ60" t="str">
            <v>--</v>
          </cell>
          <cell r="AK60" t="str">
            <v>--</v>
          </cell>
          <cell r="AL60" t="str">
            <v>--</v>
          </cell>
          <cell r="AM60" t="str">
            <v>--</v>
          </cell>
          <cell r="AN60" t="str">
            <v>--</v>
          </cell>
          <cell r="AO60" t="str">
            <v>--</v>
          </cell>
          <cell r="AP60" t="str">
            <v>--</v>
          </cell>
          <cell r="AQ60" t="str">
            <v>--</v>
          </cell>
          <cell r="AR60" t="str">
            <v>--</v>
          </cell>
          <cell r="AS60" t="str">
            <v>--</v>
          </cell>
          <cell r="AT60" t="str">
            <v>--</v>
          </cell>
          <cell r="AU60" t="str">
            <v>--</v>
          </cell>
          <cell r="AV60" t="str">
            <v>--</v>
          </cell>
          <cell r="AW60" t="str">
            <v>--</v>
          </cell>
          <cell r="AX60" t="str">
            <v>--</v>
          </cell>
          <cell r="AY60" t="str">
            <v>--</v>
          </cell>
          <cell r="AZ60" t="str">
            <v>--</v>
          </cell>
          <cell r="BA60" t="str">
            <v>--</v>
          </cell>
          <cell r="BB60" t="str">
            <v>--</v>
          </cell>
          <cell r="BC60" t="str">
            <v>--</v>
          </cell>
          <cell r="BD60" t="str">
            <v>--</v>
          </cell>
          <cell r="BE60" t="str">
            <v>--</v>
          </cell>
          <cell r="BF60" t="str">
            <v>--</v>
          </cell>
          <cell r="BG60" t="str">
            <v>--</v>
          </cell>
          <cell r="BH60" t="str">
            <v>--</v>
          </cell>
          <cell r="BI60" t="str">
            <v>--</v>
          </cell>
          <cell r="BJ60" t="str">
            <v>--</v>
          </cell>
          <cell r="BK60" t="str">
            <v>--</v>
          </cell>
          <cell r="BL60" t="str">
            <v>--</v>
          </cell>
          <cell r="BM60" t="str">
            <v>--</v>
          </cell>
          <cell r="BN60" t="str">
            <v>--</v>
          </cell>
          <cell r="BO60" t="str">
            <v>--</v>
          </cell>
          <cell r="BP60" t="str">
            <v>--</v>
          </cell>
          <cell r="BQ60" t="str">
            <v>--</v>
          </cell>
          <cell r="BR60" t="str">
            <v>--</v>
          </cell>
          <cell r="BS60" t="str">
            <v>--</v>
          </cell>
          <cell r="BT60" t="str">
            <v>--</v>
          </cell>
          <cell r="BU60" t="str">
            <v>--</v>
          </cell>
          <cell r="BV60" t="str">
            <v>--</v>
          </cell>
          <cell r="BW60" t="str">
            <v>--</v>
          </cell>
          <cell r="BX60" t="str">
            <v>--</v>
          </cell>
          <cell r="BY60" t="str">
            <v>--</v>
          </cell>
          <cell r="BZ60" t="str">
            <v>--</v>
          </cell>
          <cell r="CA60" t="str">
            <v>--</v>
          </cell>
          <cell r="CB60" t="str">
            <v>--</v>
          </cell>
          <cell r="CC60" t="str">
            <v>--</v>
          </cell>
          <cell r="CD60" t="str">
            <v>--</v>
          </cell>
          <cell r="CE60" t="str">
            <v>--</v>
          </cell>
          <cell r="CF60" t="str">
            <v>--</v>
          </cell>
          <cell r="CG60" t="str">
            <v>--</v>
          </cell>
          <cell r="CH60" t="str">
            <v>--</v>
          </cell>
          <cell r="CI60" t="str">
            <v>--</v>
          </cell>
          <cell r="CJ60" t="str">
            <v>--</v>
          </cell>
          <cell r="CK60" t="str">
            <v>--</v>
          </cell>
          <cell r="CL60" t="str">
            <v>--</v>
          </cell>
          <cell r="CM60" t="str">
            <v>--</v>
          </cell>
          <cell r="CN60" t="str">
            <v>--</v>
          </cell>
          <cell r="CO60" t="str">
            <v>--</v>
          </cell>
          <cell r="CP60" t="str">
            <v>--</v>
          </cell>
          <cell r="CQ60" t="str">
            <v>--</v>
          </cell>
          <cell r="CR60" t="str">
            <v>--</v>
          </cell>
          <cell r="CS60" t="str">
            <v>--</v>
          </cell>
          <cell r="CT60" t="str">
            <v>--</v>
          </cell>
          <cell r="CU60" t="str">
            <v>--</v>
          </cell>
          <cell r="CV60" t="str">
            <v>--</v>
          </cell>
          <cell r="CW60" t="str">
            <v>--</v>
          </cell>
          <cell r="CX60" t="str">
            <v>--</v>
          </cell>
          <cell r="CY60" t="str">
            <v>--</v>
          </cell>
          <cell r="CZ60" t="str">
            <v>--</v>
          </cell>
          <cell r="DA60" t="str">
            <v>--</v>
          </cell>
          <cell r="DB60" t="str">
            <v>--</v>
          </cell>
          <cell r="DC60" t="str">
            <v>--</v>
          </cell>
          <cell r="DD60" t="str">
            <v>--</v>
          </cell>
          <cell r="DE60" t="str">
            <v>--</v>
          </cell>
          <cell r="DF60" t="str">
            <v>--</v>
          </cell>
          <cell r="DG60" t="str">
            <v>--</v>
          </cell>
          <cell r="DH60" t="str">
            <v>--</v>
          </cell>
          <cell r="DI60" t="str">
            <v>--</v>
          </cell>
          <cell r="DJ60" t="str">
            <v>--</v>
          </cell>
          <cell r="DK60" t="str">
            <v>--</v>
          </cell>
          <cell r="DL60" t="str">
            <v>--</v>
          </cell>
          <cell r="DM60" t="str">
            <v>--</v>
          </cell>
          <cell r="DN60" t="str">
            <v>--</v>
          </cell>
          <cell r="DO60" t="str">
            <v>--</v>
          </cell>
          <cell r="DP60" t="str">
            <v>--</v>
          </cell>
          <cell r="DQ60" t="str">
            <v>--</v>
          </cell>
          <cell r="DR60" t="str">
            <v>--</v>
          </cell>
          <cell r="DS60" t="str">
            <v>--</v>
          </cell>
          <cell r="DT60" t="str">
            <v>--</v>
          </cell>
          <cell r="DU60" t="str">
            <v>--</v>
          </cell>
          <cell r="DV60" t="str">
            <v>--</v>
          </cell>
          <cell r="DW60" t="str">
            <v>--</v>
          </cell>
          <cell r="DX60" t="str">
            <v>--</v>
          </cell>
          <cell r="DY60" t="str">
            <v>--</v>
          </cell>
          <cell r="DZ60" t="str">
            <v>--</v>
          </cell>
          <cell r="EA60" t="str">
            <v>--</v>
          </cell>
          <cell r="EB60" t="str">
            <v>--</v>
          </cell>
          <cell r="EC60" t="str">
            <v>--</v>
          </cell>
          <cell r="ED60" t="str">
            <v>--</v>
          </cell>
          <cell r="EE60" t="str">
            <v>--</v>
          </cell>
          <cell r="EF60" t="str">
            <v>--</v>
          </cell>
          <cell r="EG60" t="str">
            <v>--</v>
          </cell>
        </row>
        <row r="61">
          <cell r="A61" t="str">
            <v>00350226High needs</v>
          </cell>
          <cell r="B61" t="str">
            <v>00350226S</v>
          </cell>
          <cell r="C61" t="str">
            <v>0035</v>
          </cell>
          <cell r="D61" t="str">
            <v>00350226</v>
          </cell>
          <cell r="E61" t="str">
            <v>Boston</v>
          </cell>
          <cell r="F61" t="str">
            <v>Mattahunt</v>
          </cell>
          <cell r="G61" t="str">
            <v>ES</v>
          </cell>
          <cell r="H61" t="str">
            <v>Boston - Mattahunt (00350226)</v>
          </cell>
          <cell r="I61" t="str">
            <v>High needs</v>
          </cell>
          <cell r="J61" t="str">
            <v>00350226High needs</v>
          </cell>
          <cell r="K61" t="str">
            <v>Level 3</v>
          </cell>
          <cell r="L61">
            <v>57.9</v>
          </cell>
          <cell r="M61">
            <v>61.4</v>
          </cell>
          <cell r="N61">
            <v>55.4</v>
          </cell>
          <cell r="O61">
            <v>64.900000000000006</v>
          </cell>
          <cell r="P61">
            <v>55.9</v>
          </cell>
          <cell r="Q61">
            <v>68.400000000000006</v>
          </cell>
          <cell r="R61">
            <v>71.900000000000006</v>
          </cell>
          <cell r="S61">
            <v>75.400000000000006</v>
          </cell>
          <cell r="T61">
            <v>79</v>
          </cell>
          <cell r="U61">
            <v>52.7</v>
          </cell>
          <cell r="V61">
            <v>56.6</v>
          </cell>
          <cell r="W61">
            <v>50.6</v>
          </cell>
          <cell r="X61">
            <v>60.6</v>
          </cell>
          <cell r="Y61">
            <v>54.1</v>
          </cell>
          <cell r="Z61">
            <v>64.5</v>
          </cell>
          <cell r="AA61">
            <v>68.5</v>
          </cell>
          <cell r="AB61">
            <v>72.400000000000006</v>
          </cell>
          <cell r="AC61">
            <v>76.400000000000006</v>
          </cell>
          <cell r="AD61">
            <v>36.799999999999997</v>
          </cell>
          <cell r="AE61">
            <v>42.1</v>
          </cell>
          <cell r="AF61">
            <v>45.8</v>
          </cell>
          <cell r="AG61">
            <v>47.3</v>
          </cell>
          <cell r="AH61">
            <v>53.9</v>
          </cell>
          <cell r="AI61">
            <v>52.6</v>
          </cell>
          <cell r="AJ61">
            <v>57.9</v>
          </cell>
          <cell r="AK61">
            <v>63.1</v>
          </cell>
          <cell r="AL61">
            <v>68.400000000000006</v>
          </cell>
          <cell r="AM61" t="str">
            <v>--</v>
          </cell>
          <cell r="AN61" t="str">
            <v>--</v>
          </cell>
          <cell r="AO61" t="str">
            <v>--</v>
          </cell>
          <cell r="AP61" t="str">
            <v>--</v>
          </cell>
          <cell r="AQ61" t="str">
            <v>--</v>
          </cell>
          <cell r="AR61" t="str">
            <v>--</v>
          </cell>
          <cell r="AS61" t="str">
            <v>--</v>
          </cell>
          <cell r="AT61" t="str">
            <v>--</v>
          </cell>
          <cell r="AU61" t="str">
            <v>--</v>
          </cell>
          <cell r="AV61" t="str">
            <v>--</v>
          </cell>
          <cell r="AW61" t="str">
            <v>--</v>
          </cell>
          <cell r="AX61" t="str">
            <v>--</v>
          </cell>
          <cell r="AY61" t="str">
            <v>--</v>
          </cell>
          <cell r="AZ61" t="str">
            <v>--</v>
          </cell>
          <cell r="BA61" t="str">
            <v>--</v>
          </cell>
          <cell r="BB61" t="str">
            <v>--</v>
          </cell>
          <cell r="BC61" t="str">
            <v>--</v>
          </cell>
          <cell r="BD61" t="str">
            <v>--</v>
          </cell>
          <cell r="BE61" t="str">
            <v>--</v>
          </cell>
          <cell r="BF61" t="str">
            <v>--</v>
          </cell>
          <cell r="BG61" t="str">
            <v>--</v>
          </cell>
          <cell r="BH61" t="str">
            <v>--</v>
          </cell>
          <cell r="BI61" t="str">
            <v>--</v>
          </cell>
          <cell r="BJ61" t="str">
            <v>--</v>
          </cell>
          <cell r="BK61" t="str">
            <v>--</v>
          </cell>
          <cell r="BL61" t="str">
            <v>--</v>
          </cell>
          <cell r="BM61" t="str">
            <v>--</v>
          </cell>
          <cell r="BN61">
            <v>30</v>
          </cell>
          <cell r="BO61">
            <v>40</v>
          </cell>
          <cell r="BP61">
            <v>28.5</v>
          </cell>
          <cell r="BQ61">
            <v>38.5</v>
          </cell>
          <cell r="BR61">
            <v>52</v>
          </cell>
          <cell r="BS61">
            <v>51</v>
          </cell>
          <cell r="BT61">
            <v>51</v>
          </cell>
          <cell r="BU61">
            <v>51</v>
          </cell>
          <cell r="BV61">
            <v>51</v>
          </cell>
          <cell r="BW61">
            <v>36</v>
          </cell>
          <cell r="BX61">
            <v>46</v>
          </cell>
          <cell r="BY61">
            <v>46</v>
          </cell>
          <cell r="BZ61">
            <v>51</v>
          </cell>
          <cell r="CA61">
            <v>48</v>
          </cell>
          <cell r="CB61">
            <v>51</v>
          </cell>
          <cell r="CC61">
            <v>51</v>
          </cell>
          <cell r="CD61">
            <v>51</v>
          </cell>
          <cell r="CE61">
            <v>51</v>
          </cell>
          <cell r="CF61">
            <v>30.1</v>
          </cell>
          <cell r="CG61">
            <v>27.1</v>
          </cell>
          <cell r="CH61">
            <v>38.299999999999997</v>
          </cell>
          <cell r="CI61">
            <v>34.5</v>
          </cell>
          <cell r="CJ61">
            <v>36.700000000000003</v>
          </cell>
          <cell r="CK61">
            <v>33</v>
          </cell>
          <cell r="CL61">
            <v>29.7</v>
          </cell>
          <cell r="CM61">
            <v>26.8</v>
          </cell>
          <cell r="CN61">
            <v>24.1</v>
          </cell>
          <cell r="CO61">
            <v>40.200000000000003</v>
          </cell>
          <cell r="CP61">
            <v>36.200000000000003</v>
          </cell>
          <cell r="CQ61">
            <v>44.1</v>
          </cell>
          <cell r="CR61">
            <v>39.700000000000003</v>
          </cell>
          <cell r="CS61">
            <v>37.9</v>
          </cell>
          <cell r="CT61">
            <v>34.1</v>
          </cell>
          <cell r="CU61">
            <v>30.7</v>
          </cell>
          <cell r="CV61">
            <v>27.6</v>
          </cell>
          <cell r="CW61">
            <v>24.9</v>
          </cell>
          <cell r="CX61">
            <v>62.9</v>
          </cell>
          <cell r="CY61">
            <v>56.6</v>
          </cell>
          <cell r="CZ61">
            <v>45.5</v>
          </cell>
          <cell r="DA61">
            <v>41</v>
          </cell>
          <cell r="DB61">
            <v>35.299999999999997</v>
          </cell>
          <cell r="DC61">
            <v>31.8</v>
          </cell>
          <cell r="DD61">
            <v>28.6</v>
          </cell>
          <cell r="DE61">
            <v>25.7</v>
          </cell>
          <cell r="DF61">
            <v>23.2</v>
          </cell>
          <cell r="DG61">
            <v>0.5</v>
          </cell>
          <cell r="DH61">
            <v>0.6</v>
          </cell>
          <cell r="DI61">
            <v>0.5</v>
          </cell>
          <cell r="DJ61">
            <v>0.6</v>
          </cell>
          <cell r="DK61">
            <v>1</v>
          </cell>
          <cell r="DL61">
            <v>1.1000000000000001</v>
          </cell>
          <cell r="DM61">
            <v>1.2</v>
          </cell>
          <cell r="DN61">
            <v>1.3</v>
          </cell>
          <cell r="DO61">
            <v>1.5</v>
          </cell>
          <cell r="DP61">
            <v>1.4</v>
          </cell>
          <cell r="DQ61">
            <v>1.5</v>
          </cell>
          <cell r="DR61">
            <v>1</v>
          </cell>
          <cell r="DS61">
            <v>1.1000000000000001</v>
          </cell>
          <cell r="DT61">
            <v>2.5</v>
          </cell>
          <cell r="DU61">
            <v>2.8</v>
          </cell>
          <cell r="DV61">
            <v>3</v>
          </cell>
          <cell r="DW61">
            <v>3.3</v>
          </cell>
          <cell r="DX61">
            <v>3.7</v>
          </cell>
          <cell r="DY61">
            <v>0</v>
          </cell>
          <cell r="DZ61">
            <v>1</v>
          </cell>
          <cell r="EA61">
            <v>0</v>
          </cell>
          <cell r="EB61">
            <v>1</v>
          </cell>
          <cell r="EC61">
            <v>2</v>
          </cell>
          <cell r="ED61">
            <v>2.2000000000000002</v>
          </cell>
          <cell r="EE61">
            <v>2.4</v>
          </cell>
          <cell r="EF61">
            <v>2.7</v>
          </cell>
          <cell r="EG61">
            <v>2.9</v>
          </cell>
        </row>
        <row r="62">
          <cell r="A62" t="str">
            <v>00350226All students</v>
          </cell>
          <cell r="B62" t="str">
            <v>00350226T</v>
          </cell>
          <cell r="C62" t="str">
            <v>0035</v>
          </cell>
          <cell r="D62" t="str">
            <v>00350226</v>
          </cell>
          <cell r="E62" t="str">
            <v>Boston</v>
          </cell>
          <cell r="F62" t="str">
            <v>Mattahunt</v>
          </cell>
          <cell r="G62" t="str">
            <v>ES</v>
          </cell>
          <cell r="H62" t="str">
            <v>Boston - Mattahunt (00350226)</v>
          </cell>
          <cell r="I62" t="str">
            <v>All students</v>
          </cell>
          <cell r="J62" t="str">
            <v>00350226All students</v>
          </cell>
          <cell r="K62" t="str">
            <v>Level 3</v>
          </cell>
          <cell r="L62">
            <v>58.1</v>
          </cell>
          <cell r="M62">
            <v>61.6</v>
          </cell>
          <cell r="N62">
            <v>55.7</v>
          </cell>
          <cell r="O62">
            <v>65.099999999999994</v>
          </cell>
          <cell r="P62">
            <v>56.1</v>
          </cell>
          <cell r="Q62">
            <v>68.599999999999994</v>
          </cell>
          <cell r="R62">
            <v>72.099999999999994</v>
          </cell>
          <cell r="S62">
            <v>75.599999999999994</v>
          </cell>
          <cell r="T62">
            <v>79.099999999999994</v>
          </cell>
          <cell r="U62">
            <v>53.2</v>
          </cell>
          <cell r="V62">
            <v>57.1</v>
          </cell>
          <cell r="W62">
            <v>51.5</v>
          </cell>
          <cell r="X62">
            <v>61</v>
          </cell>
          <cell r="Y62">
            <v>54.5</v>
          </cell>
          <cell r="Z62">
            <v>64.900000000000006</v>
          </cell>
          <cell r="AA62">
            <v>68.8</v>
          </cell>
          <cell r="AB62">
            <v>72.7</v>
          </cell>
          <cell r="AC62">
            <v>76.599999999999994</v>
          </cell>
          <cell r="AD62">
            <v>36</v>
          </cell>
          <cell r="AE62">
            <v>41.3</v>
          </cell>
          <cell r="AF62">
            <v>46.6</v>
          </cell>
          <cell r="AG62">
            <v>46.7</v>
          </cell>
          <cell r="AH62">
            <v>52.7</v>
          </cell>
          <cell r="AI62">
            <v>52</v>
          </cell>
          <cell r="AJ62">
            <v>57.3</v>
          </cell>
          <cell r="AK62">
            <v>62.7</v>
          </cell>
          <cell r="AL62">
            <v>68</v>
          </cell>
          <cell r="AM62" t="str">
            <v>--</v>
          </cell>
          <cell r="AN62" t="str">
            <v>--</v>
          </cell>
          <cell r="AO62" t="str">
            <v>--</v>
          </cell>
          <cell r="AP62" t="str">
            <v>--</v>
          </cell>
          <cell r="AQ62" t="str">
            <v>--</v>
          </cell>
          <cell r="AR62" t="str">
            <v>--</v>
          </cell>
          <cell r="AS62" t="str">
            <v>--</v>
          </cell>
          <cell r="AT62" t="str">
            <v>--</v>
          </cell>
          <cell r="AU62" t="str">
            <v>--</v>
          </cell>
          <cell r="AV62" t="str">
            <v>--</v>
          </cell>
          <cell r="AW62" t="str">
            <v>--</v>
          </cell>
          <cell r="AX62" t="str">
            <v>--</v>
          </cell>
          <cell r="AY62" t="str">
            <v>--</v>
          </cell>
          <cell r="AZ62" t="str">
            <v>--</v>
          </cell>
          <cell r="BA62" t="str">
            <v>--</v>
          </cell>
          <cell r="BB62" t="str">
            <v>--</v>
          </cell>
          <cell r="BC62" t="str">
            <v>--</v>
          </cell>
          <cell r="BD62" t="str">
            <v>--</v>
          </cell>
          <cell r="BE62" t="str">
            <v>--</v>
          </cell>
          <cell r="BF62" t="str">
            <v>--</v>
          </cell>
          <cell r="BG62" t="str">
            <v>--</v>
          </cell>
          <cell r="BH62" t="str">
            <v>--</v>
          </cell>
          <cell r="BI62" t="str">
            <v>--</v>
          </cell>
          <cell r="BJ62" t="str">
            <v>--</v>
          </cell>
          <cell r="BK62" t="str">
            <v>--</v>
          </cell>
          <cell r="BL62" t="str">
            <v>--</v>
          </cell>
          <cell r="BM62" t="str">
            <v>--</v>
          </cell>
          <cell r="BN62">
            <v>31</v>
          </cell>
          <cell r="BO62">
            <v>41</v>
          </cell>
          <cell r="BP62">
            <v>27</v>
          </cell>
          <cell r="BQ62">
            <v>37</v>
          </cell>
          <cell r="BR62">
            <v>52</v>
          </cell>
          <cell r="BS62">
            <v>51</v>
          </cell>
          <cell r="BT62">
            <v>51</v>
          </cell>
          <cell r="BU62">
            <v>51</v>
          </cell>
          <cell r="BV62">
            <v>51</v>
          </cell>
          <cell r="BW62">
            <v>36</v>
          </cell>
          <cell r="BX62">
            <v>46</v>
          </cell>
          <cell r="BY62">
            <v>45</v>
          </cell>
          <cell r="BZ62">
            <v>51</v>
          </cell>
          <cell r="CA62">
            <v>48</v>
          </cell>
          <cell r="CB62">
            <v>51</v>
          </cell>
          <cell r="CC62">
            <v>51</v>
          </cell>
          <cell r="CD62">
            <v>51</v>
          </cell>
          <cell r="CE62">
            <v>51</v>
          </cell>
          <cell r="CF62">
            <v>31</v>
          </cell>
          <cell r="CG62">
            <v>27.9</v>
          </cell>
          <cell r="CH62">
            <v>36.9</v>
          </cell>
          <cell r="CI62">
            <v>33.200000000000003</v>
          </cell>
          <cell r="CJ62">
            <v>35.5</v>
          </cell>
          <cell r="CK62">
            <v>32</v>
          </cell>
          <cell r="CL62">
            <v>28.8</v>
          </cell>
          <cell r="CM62">
            <v>25.9</v>
          </cell>
          <cell r="CN62">
            <v>23.3</v>
          </cell>
          <cell r="CO62">
            <v>40</v>
          </cell>
          <cell r="CP62">
            <v>36</v>
          </cell>
          <cell r="CQ62">
            <v>42</v>
          </cell>
          <cell r="CR62">
            <v>37.799999999999997</v>
          </cell>
          <cell r="CS62">
            <v>37.6</v>
          </cell>
          <cell r="CT62">
            <v>33.799999999999997</v>
          </cell>
          <cell r="CU62">
            <v>30.5</v>
          </cell>
          <cell r="CV62">
            <v>27.4</v>
          </cell>
          <cell r="CW62">
            <v>24.7</v>
          </cell>
          <cell r="CX62">
            <v>64.900000000000006</v>
          </cell>
          <cell r="CY62">
            <v>58.4</v>
          </cell>
          <cell r="CZ62">
            <v>43.8</v>
          </cell>
          <cell r="DA62">
            <v>39.4</v>
          </cell>
          <cell r="DB62">
            <v>38.200000000000003</v>
          </cell>
          <cell r="DC62">
            <v>34.4</v>
          </cell>
          <cell r="DD62">
            <v>30.9</v>
          </cell>
          <cell r="DE62">
            <v>27.8</v>
          </cell>
          <cell r="DF62">
            <v>25.1</v>
          </cell>
          <cell r="DG62">
            <v>0.8</v>
          </cell>
          <cell r="DH62">
            <v>0.9</v>
          </cell>
          <cell r="DI62">
            <v>1.4</v>
          </cell>
          <cell r="DJ62">
            <v>1.5</v>
          </cell>
          <cell r="DK62">
            <v>1.4</v>
          </cell>
          <cell r="DL62">
            <v>1.5</v>
          </cell>
          <cell r="DM62">
            <v>1.7</v>
          </cell>
          <cell r="DN62">
            <v>1.9</v>
          </cell>
          <cell r="DO62">
            <v>2</v>
          </cell>
          <cell r="DP62">
            <v>1.7</v>
          </cell>
          <cell r="DQ62">
            <v>1.9</v>
          </cell>
          <cell r="DR62">
            <v>1.3</v>
          </cell>
          <cell r="DS62">
            <v>1.4</v>
          </cell>
          <cell r="DT62">
            <v>2.7</v>
          </cell>
          <cell r="DU62">
            <v>3</v>
          </cell>
          <cell r="DV62">
            <v>3.3</v>
          </cell>
          <cell r="DW62">
            <v>3.6</v>
          </cell>
          <cell r="DX62">
            <v>4</v>
          </cell>
          <cell r="DY62">
            <v>0</v>
          </cell>
          <cell r="DZ62">
            <v>1</v>
          </cell>
          <cell r="EA62">
            <v>0</v>
          </cell>
          <cell r="EB62">
            <v>1</v>
          </cell>
          <cell r="EC62">
            <v>1.8</v>
          </cell>
          <cell r="ED62">
            <v>2</v>
          </cell>
          <cell r="EE62">
            <v>2.2000000000000002</v>
          </cell>
          <cell r="EF62">
            <v>2.4</v>
          </cell>
          <cell r="EG62">
            <v>2.6</v>
          </cell>
        </row>
        <row r="63">
          <cell r="A63" t="str">
            <v>00350268Asian</v>
          </cell>
          <cell r="B63" t="str">
            <v>00350268A</v>
          </cell>
          <cell r="C63" t="str">
            <v>0035</v>
          </cell>
          <cell r="D63" t="str">
            <v>00350268</v>
          </cell>
          <cell r="E63" t="str">
            <v>Boston</v>
          </cell>
          <cell r="F63" t="str">
            <v>Paul A Dever</v>
          </cell>
          <cell r="G63" t="str">
            <v>ES</v>
          </cell>
          <cell r="H63" t="str">
            <v>Boston - Paul A Dever (00350268)</v>
          </cell>
          <cell r="I63" t="str">
            <v>Asian</v>
          </cell>
          <cell r="J63" t="str">
            <v>00350268Asian</v>
          </cell>
          <cell r="K63" t="str">
            <v>Level 4</v>
          </cell>
          <cell r="L63">
            <v>80.7</v>
          </cell>
          <cell r="M63" t="str">
            <v>--</v>
          </cell>
          <cell r="N63">
            <v>76.8</v>
          </cell>
          <cell r="O63" t="str">
            <v>--</v>
          </cell>
          <cell r="P63">
            <v>80.7</v>
          </cell>
          <cell r="Q63">
            <v>82.3</v>
          </cell>
          <cell r="R63">
            <v>83.9</v>
          </cell>
          <cell r="S63">
            <v>85.5</v>
          </cell>
          <cell r="T63">
            <v>87.1</v>
          </cell>
          <cell r="U63">
            <v>89.8</v>
          </cell>
          <cell r="V63" t="str">
            <v>--</v>
          </cell>
          <cell r="W63">
            <v>89.3</v>
          </cell>
          <cell r="X63" t="str">
            <v>--</v>
          </cell>
          <cell r="Y63">
            <v>89.8</v>
          </cell>
          <cell r="Z63">
            <v>90.7</v>
          </cell>
          <cell r="AA63">
            <v>91.5</v>
          </cell>
          <cell r="AB63">
            <v>92.4</v>
          </cell>
          <cell r="AC63">
            <v>93.2</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t="str">
            <v>--</v>
          </cell>
          <cell r="BT63" t="str">
            <v>--</v>
          </cell>
          <cell r="BU63" t="str">
            <v>--</v>
          </cell>
          <cell r="BV63" t="str">
            <v>--</v>
          </cell>
          <cell r="BW63" t="str">
            <v>--</v>
          </cell>
          <cell r="BX63" t="str">
            <v>--</v>
          </cell>
          <cell r="BY63" t="str">
            <v>--</v>
          </cell>
          <cell r="BZ63" t="str">
            <v>--</v>
          </cell>
          <cell r="CA63" t="str">
            <v>--</v>
          </cell>
          <cell r="CB63" t="str">
            <v>--</v>
          </cell>
          <cell r="CC63" t="str">
            <v>--</v>
          </cell>
          <cell r="CD63" t="str">
            <v>--</v>
          </cell>
          <cell r="CE63" t="str">
            <v>--</v>
          </cell>
          <cell r="CF63">
            <v>0</v>
          </cell>
          <cell r="CG63" t="str">
            <v>--</v>
          </cell>
          <cell r="CH63">
            <v>0</v>
          </cell>
          <cell r="CI63" t="str">
            <v>--</v>
          </cell>
          <cell r="CJ63">
            <v>4.5</v>
          </cell>
          <cell r="CK63">
            <v>4.0999999999999996</v>
          </cell>
          <cell r="CL63">
            <v>3.6</v>
          </cell>
          <cell r="CM63">
            <v>3.3</v>
          </cell>
          <cell r="CN63">
            <v>3</v>
          </cell>
          <cell r="CO63">
            <v>0</v>
          </cell>
          <cell r="CP63" t="str">
            <v>--</v>
          </cell>
          <cell r="CQ63">
            <v>0</v>
          </cell>
          <cell r="CR63" t="str">
            <v>--</v>
          </cell>
          <cell r="CS63">
            <v>9.1</v>
          </cell>
          <cell r="CT63">
            <v>8.1999999999999993</v>
          </cell>
          <cell r="CU63">
            <v>7.4</v>
          </cell>
          <cell r="CV63">
            <v>6.6</v>
          </cell>
          <cell r="CW63">
            <v>6</v>
          </cell>
          <cell r="CX63" t="str">
            <v>--</v>
          </cell>
          <cell r="CY63" t="str">
            <v>--</v>
          </cell>
          <cell r="CZ63" t="str">
            <v>--</v>
          </cell>
          <cell r="DA63" t="str">
            <v>--</v>
          </cell>
          <cell r="DB63" t="str">
            <v>--</v>
          </cell>
          <cell r="DC63" t="str">
            <v>--</v>
          </cell>
          <cell r="DD63" t="str">
            <v>--</v>
          </cell>
          <cell r="DE63" t="str">
            <v>--</v>
          </cell>
          <cell r="DF63" t="str">
            <v>--</v>
          </cell>
          <cell r="DG63">
            <v>0</v>
          </cell>
          <cell r="DH63" t="str">
            <v>--</v>
          </cell>
          <cell r="DI63">
            <v>0</v>
          </cell>
          <cell r="DJ63" t="str">
            <v>--</v>
          </cell>
          <cell r="DK63">
            <v>9.1</v>
          </cell>
          <cell r="DL63">
            <v>10</v>
          </cell>
          <cell r="DM63">
            <v>11</v>
          </cell>
          <cell r="DN63">
            <v>12.1</v>
          </cell>
          <cell r="DO63">
            <v>13.3</v>
          </cell>
          <cell r="DP63">
            <v>18.2</v>
          </cell>
          <cell r="DQ63" t="str">
            <v>--</v>
          </cell>
          <cell r="DR63">
            <v>35.700000000000003</v>
          </cell>
          <cell r="DS63" t="str">
            <v>--</v>
          </cell>
          <cell r="DT63">
            <v>40.9</v>
          </cell>
          <cell r="DU63">
            <v>45</v>
          </cell>
          <cell r="DV63">
            <v>49.5</v>
          </cell>
          <cell r="DW63">
            <v>54.4</v>
          </cell>
          <cell r="DX63">
            <v>59.9</v>
          </cell>
          <cell r="DY63" t="str">
            <v>--</v>
          </cell>
          <cell r="DZ63" t="str">
            <v>--</v>
          </cell>
          <cell r="EA63" t="str">
            <v>--</v>
          </cell>
          <cell r="EB63" t="str">
            <v>--</v>
          </cell>
          <cell r="EC63" t="str">
            <v>--</v>
          </cell>
          <cell r="ED63" t="str">
            <v>--</v>
          </cell>
          <cell r="EE63" t="str">
            <v>--</v>
          </cell>
          <cell r="EF63" t="str">
            <v>--</v>
          </cell>
          <cell r="EG63" t="str">
            <v>--</v>
          </cell>
        </row>
        <row r="64">
          <cell r="A64" t="str">
            <v>00350268Afr. Amer/Black</v>
          </cell>
          <cell r="B64" t="str">
            <v>00350268B</v>
          </cell>
          <cell r="C64" t="str">
            <v>0035</v>
          </cell>
          <cell r="D64" t="str">
            <v>00350268</v>
          </cell>
          <cell r="E64" t="str">
            <v>Boston</v>
          </cell>
          <cell r="F64" t="str">
            <v>Paul A Dever</v>
          </cell>
          <cell r="G64" t="str">
            <v>ES</v>
          </cell>
          <cell r="H64" t="str">
            <v>Boston - Paul A Dever (00350268)</v>
          </cell>
          <cell r="I64" t="str">
            <v>Afr. Amer/Black</v>
          </cell>
          <cell r="J64" t="str">
            <v>00350268Afr. Amer/Black</v>
          </cell>
          <cell r="K64" t="str">
            <v>Level 4</v>
          </cell>
          <cell r="L64">
            <v>48.7</v>
          </cell>
          <cell r="M64">
            <v>53</v>
          </cell>
          <cell r="N64">
            <v>54.6</v>
          </cell>
          <cell r="O64">
            <v>57.3</v>
          </cell>
          <cell r="P64">
            <v>48.9</v>
          </cell>
          <cell r="Q64">
            <v>61.5</v>
          </cell>
          <cell r="R64">
            <v>65.8</v>
          </cell>
          <cell r="S64">
            <v>70.099999999999994</v>
          </cell>
          <cell r="T64">
            <v>74.400000000000006</v>
          </cell>
          <cell r="U64">
            <v>61</v>
          </cell>
          <cell r="V64">
            <v>64.3</v>
          </cell>
          <cell r="W64">
            <v>57.7</v>
          </cell>
          <cell r="X64">
            <v>67.5</v>
          </cell>
          <cell r="Y64">
            <v>56.9</v>
          </cell>
          <cell r="Z64">
            <v>70.8</v>
          </cell>
          <cell r="AA64">
            <v>74</v>
          </cell>
          <cell r="AB64">
            <v>77.3</v>
          </cell>
          <cell r="AC64">
            <v>80.5</v>
          </cell>
          <cell r="AD64">
            <v>55</v>
          </cell>
          <cell r="AE64">
            <v>58.8</v>
          </cell>
          <cell r="AF64">
            <v>40</v>
          </cell>
          <cell r="AG64">
            <v>62.5</v>
          </cell>
          <cell r="AH64">
            <v>31.6</v>
          </cell>
          <cell r="AI64">
            <v>66.3</v>
          </cell>
          <cell r="AJ64">
            <v>70</v>
          </cell>
          <cell r="AK64">
            <v>73.8</v>
          </cell>
          <cell r="AL64">
            <v>77.5</v>
          </cell>
          <cell r="AM64" t="str">
            <v>--</v>
          </cell>
          <cell r="AN64" t="str">
            <v>--</v>
          </cell>
          <cell r="AO64" t="str">
            <v>--</v>
          </cell>
          <cell r="AP64" t="str">
            <v>--</v>
          </cell>
          <cell r="AQ64" t="str">
            <v>--</v>
          </cell>
          <cell r="AR64" t="str">
            <v>--</v>
          </cell>
          <cell r="AS64" t="str">
            <v>--</v>
          </cell>
          <cell r="AT64" t="str">
            <v>--</v>
          </cell>
          <cell r="AU64" t="str">
            <v>--</v>
          </cell>
          <cell r="AV64" t="str">
            <v>--</v>
          </cell>
          <cell r="AW64" t="str">
            <v>--</v>
          </cell>
          <cell r="AX64" t="str">
            <v>--</v>
          </cell>
          <cell r="AY64" t="str">
            <v>--</v>
          </cell>
          <cell r="AZ64" t="str">
            <v>--</v>
          </cell>
          <cell r="BA64" t="str">
            <v>--</v>
          </cell>
          <cell r="BB64" t="str">
            <v>--</v>
          </cell>
          <cell r="BC64" t="str">
            <v>--</v>
          </cell>
          <cell r="BD64" t="str">
            <v>--</v>
          </cell>
          <cell r="BE64" t="str">
            <v>--</v>
          </cell>
          <cell r="BF64" t="str">
            <v>--</v>
          </cell>
          <cell r="BG64" t="str">
            <v>--</v>
          </cell>
          <cell r="BH64" t="str">
            <v>--</v>
          </cell>
          <cell r="BI64" t="str">
            <v>--</v>
          </cell>
          <cell r="BJ64" t="str">
            <v>--</v>
          </cell>
          <cell r="BK64" t="str">
            <v>--</v>
          </cell>
          <cell r="BL64" t="str">
            <v>--</v>
          </cell>
          <cell r="BM64" t="str">
            <v>--</v>
          </cell>
          <cell r="BN64">
            <v>40.5</v>
          </cell>
          <cell r="BO64">
            <v>50.5</v>
          </cell>
          <cell r="BP64">
            <v>49.5</v>
          </cell>
          <cell r="BQ64">
            <v>51</v>
          </cell>
          <cell r="BR64">
            <v>24.5</v>
          </cell>
          <cell r="BS64">
            <v>34.5</v>
          </cell>
          <cell r="BT64">
            <v>44.5</v>
          </cell>
          <cell r="BU64">
            <v>51</v>
          </cell>
          <cell r="BV64">
            <v>51</v>
          </cell>
          <cell r="BW64">
            <v>60</v>
          </cell>
          <cell r="BX64">
            <v>51</v>
          </cell>
          <cell r="BY64">
            <v>45.5</v>
          </cell>
          <cell r="BZ64">
            <v>51</v>
          </cell>
          <cell r="CA64">
            <v>47</v>
          </cell>
          <cell r="CB64">
            <v>51</v>
          </cell>
          <cell r="CC64">
            <v>51</v>
          </cell>
          <cell r="CD64">
            <v>51</v>
          </cell>
          <cell r="CE64">
            <v>51</v>
          </cell>
          <cell r="CF64">
            <v>41.4</v>
          </cell>
          <cell r="CG64">
            <v>37.299999999999997</v>
          </cell>
          <cell r="CH64">
            <v>40</v>
          </cell>
          <cell r="CI64">
            <v>36</v>
          </cell>
          <cell r="CJ64">
            <v>39.4</v>
          </cell>
          <cell r="CK64">
            <v>35.5</v>
          </cell>
          <cell r="CL64">
            <v>31.9</v>
          </cell>
          <cell r="CM64">
            <v>28.7</v>
          </cell>
          <cell r="CN64">
            <v>25.9</v>
          </cell>
          <cell r="CO64">
            <v>26.3</v>
          </cell>
          <cell r="CP64">
            <v>23.7</v>
          </cell>
          <cell r="CQ64">
            <v>40</v>
          </cell>
          <cell r="CR64">
            <v>36</v>
          </cell>
          <cell r="CS64">
            <v>36.1</v>
          </cell>
          <cell r="CT64">
            <v>32.5</v>
          </cell>
          <cell r="CU64">
            <v>29.2</v>
          </cell>
          <cell r="CV64">
            <v>26.3</v>
          </cell>
          <cell r="CW64">
            <v>23.7</v>
          </cell>
          <cell r="CX64">
            <v>72.2</v>
          </cell>
          <cell r="CY64">
            <v>25.2</v>
          </cell>
          <cell r="CZ64">
            <v>65</v>
          </cell>
          <cell r="DA64">
            <v>58.5</v>
          </cell>
          <cell r="DB64">
            <v>73.7</v>
          </cell>
          <cell r="DC64">
            <v>58.5</v>
          </cell>
          <cell r="DD64">
            <v>52.7</v>
          </cell>
          <cell r="DE64">
            <v>47.4</v>
          </cell>
          <cell r="DF64">
            <v>42.6</v>
          </cell>
          <cell r="DG64">
            <v>0</v>
          </cell>
          <cell r="DH64">
            <v>1</v>
          </cell>
          <cell r="DI64">
            <v>1.5</v>
          </cell>
          <cell r="DJ64">
            <v>1.7</v>
          </cell>
          <cell r="DK64">
            <v>1.4</v>
          </cell>
          <cell r="DL64">
            <v>1.5</v>
          </cell>
          <cell r="DM64">
            <v>1.7</v>
          </cell>
          <cell r="DN64">
            <v>1.9</v>
          </cell>
          <cell r="DO64">
            <v>2</v>
          </cell>
          <cell r="DP64">
            <v>0</v>
          </cell>
          <cell r="DQ64">
            <v>1</v>
          </cell>
          <cell r="DR64">
            <v>4.5999999999999996</v>
          </cell>
          <cell r="DS64">
            <v>5.0999999999999996</v>
          </cell>
          <cell r="DT64">
            <v>5.6</v>
          </cell>
          <cell r="DU64">
            <v>6.2</v>
          </cell>
          <cell r="DV64">
            <v>6.8</v>
          </cell>
          <cell r="DW64">
            <v>7.5</v>
          </cell>
          <cell r="DX64">
            <v>8.1999999999999993</v>
          </cell>
          <cell r="DY64">
            <v>0</v>
          </cell>
          <cell r="DZ64">
            <v>1</v>
          </cell>
          <cell r="EA64">
            <v>0</v>
          </cell>
          <cell r="EB64">
            <v>1</v>
          </cell>
          <cell r="EC64">
            <v>0</v>
          </cell>
          <cell r="ED64">
            <v>1</v>
          </cell>
          <cell r="EE64">
            <v>1.1000000000000001</v>
          </cell>
          <cell r="EF64">
            <v>1.2</v>
          </cell>
          <cell r="EG64">
            <v>1.3</v>
          </cell>
        </row>
        <row r="65">
          <cell r="A65" t="str">
            <v>00350268White</v>
          </cell>
          <cell r="B65" t="str">
            <v>00350268C</v>
          </cell>
          <cell r="C65" t="str">
            <v>0035</v>
          </cell>
          <cell r="D65" t="str">
            <v>00350268</v>
          </cell>
          <cell r="E65" t="str">
            <v>Boston</v>
          </cell>
          <cell r="F65" t="str">
            <v>Paul A Dever</v>
          </cell>
          <cell r="G65" t="str">
            <v>ES</v>
          </cell>
          <cell r="H65" t="str">
            <v>Boston - Paul A Dever (00350268)</v>
          </cell>
          <cell r="I65" t="str">
            <v>White</v>
          </cell>
          <cell r="J65" t="str">
            <v>00350268White</v>
          </cell>
          <cell r="K65" t="str">
            <v>Level 4</v>
          </cell>
          <cell r="L65" t="str">
            <v>--</v>
          </cell>
          <cell r="M65" t="str">
            <v>--</v>
          </cell>
          <cell r="N65" t="str">
            <v>--</v>
          </cell>
          <cell r="O65" t="str">
            <v>--</v>
          </cell>
          <cell r="P65" t="str">
            <v>--</v>
          </cell>
          <cell r="Q65" t="str">
            <v>--</v>
          </cell>
          <cell r="R65" t="str">
            <v>--</v>
          </cell>
          <cell r="S65" t="str">
            <v>--</v>
          </cell>
          <cell r="T65" t="str">
            <v>--</v>
          </cell>
          <cell r="U65" t="str">
            <v>--</v>
          </cell>
          <cell r="V65" t="str">
            <v>--</v>
          </cell>
          <cell r="W65" t="str">
            <v>--</v>
          </cell>
          <cell r="X65" t="str">
            <v>--</v>
          </cell>
          <cell r="Y65" t="str">
            <v>--</v>
          </cell>
          <cell r="Z65" t="str">
            <v>--</v>
          </cell>
          <cell r="AA65" t="str">
            <v>--</v>
          </cell>
          <cell r="AB65" t="str">
            <v>--</v>
          </cell>
          <cell r="AC65" t="str">
            <v>--</v>
          </cell>
          <cell r="AD65" t="str">
            <v>--</v>
          </cell>
          <cell r="AE65" t="str">
            <v>--</v>
          </cell>
          <cell r="AF65" t="str">
            <v>--</v>
          </cell>
          <cell r="AG65" t="str">
            <v>--</v>
          </cell>
          <cell r="AH65" t="str">
            <v>--</v>
          </cell>
          <cell r="AI65" t="str">
            <v>--</v>
          </cell>
          <cell r="AJ65" t="str">
            <v>--</v>
          </cell>
          <cell r="AK65" t="str">
            <v>--</v>
          </cell>
          <cell r="AL65" t="str">
            <v>--</v>
          </cell>
          <cell r="AM65" t="str">
            <v>--</v>
          </cell>
          <cell r="AN65" t="str">
            <v>--</v>
          </cell>
          <cell r="AO65" t="str">
            <v>--</v>
          </cell>
          <cell r="AP65" t="str">
            <v>--</v>
          </cell>
          <cell r="AQ65" t="str">
            <v>--</v>
          </cell>
          <cell r="AR65" t="str">
            <v>--</v>
          </cell>
          <cell r="AS65" t="str">
            <v>--</v>
          </cell>
          <cell r="AT65" t="str">
            <v>--</v>
          </cell>
          <cell r="AU65" t="str">
            <v>--</v>
          </cell>
          <cell r="AV65" t="str">
            <v>--</v>
          </cell>
          <cell r="AW65" t="str">
            <v>--</v>
          </cell>
          <cell r="AX65" t="str">
            <v>--</v>
          </cell>
          <cell r="AY65" t="str">
            <v>--</v>
          </cell>
          <cell r="AZ65" t="str">
            <v>--</v>
          </cell>
          <cell r="BA65" t="str">
            <v>--</v>
          </cell>
          <cell r="BB65" t="str">
            <v>--</v>
          </cell>
          <cell r="BC65" t="str">
            <v>--</v>
          </cell>
          <cell r="BD65" t="str">
            <v>--</v>
          </cell>
          <cell r="BE65" t="str">
            <v>--</v>
          </cell>
          <cell r="BF65" t="str">
            <v>--</v>
          </cell>
          <cell r="BG65" t="str">
            <v>--</v>
          </cell>
          <cell r="BH65" t="str">
            <v>--</v>
          </cell>
          <cell r="BI65" t="str">
            <v>--</v>
          </cell>
          <cell r="BJ65" t="str">
            <v>--</v>
          </cell>
          <cell r="BK65" t="str">
            <v>--</v>
          </cell>
          <cell r="BL65" t="str">
            <v>--</v>
          </cell>
          <cell r="BM65" t="str">
            <v>--</v>
          </cell>
          <cell r="BN65" t="str">
            <v>--</v>
          </cell>
          <cell r="BO65" t="str">
            <v>--</v>
          </cell>
          <cell r="BP65" t="str">
            <v>--</v>
          </cell>
          <cell r="BQ65" t="str">
            <v>--</v>
          </cell>
          <cell r="BR65" t="str">
            <v>--</v>
          </cell>
          <cell r="BS65" t="str">
            <v>--</v>
          </cell>
          <cell r="BT65" t="str">
            <v>--</v>
          </cell>
          <cell r="BU65" t="str">
            <v>--</v>
          </cell>
          <cell r="BV65" t="str">
            <v>--</v>
          </cell>
          <cell r="BW65" t="str">
            <v>--</v>
          </cell>
          <cell r="BX65" t="str">
            <v>--</v>
          </cell>
          <cell r="BY65" t="str">
            <v>--</v>
          </cell>
          <cell r="BZ65" t="str">
            <v>--</v>
          </cell>
          <cell r="CA65" t="str">
            <v>--</v>
          </cell>
          <cell r="CB65" t="str">
            <v>--</v>
          </cell>
          <cell r="CC65" t="str">
            <v>--</v>
          </cell>
          <cell r="CD65" t="str">
            <v>--</v>
          </cell>
          <cell r="CE65" t="str">
            <v>--</v>
          </cell>
          <cell r="CF65" t="str">
            <v>--</v>
          </cell>
          <cell r="CG65" t="str">
            <v>--</v>
          </cell>
          <cell r="CH65" t="str">
            <v>--</v>
          </cell>
          <cell r="CI65" t="str">
            <v>--</v>
          </cell>
          <cell r="CJ65" t="str">
            <v>--</v>
          </cell>
          <cell r="CK65" t="str">
            <v>--</v>
          </cell>
          <cell r="CL65" t="str">
            <v>--</v>
          </cell>
          <cell r="CM65" t="str">
            <v>--</v>
          </cell>
          <cell r="CN65" t="str">
            <v>--</v>
          </cell>
          <cell r="CO65" t="str">
            <v>--</v>
          </cell>
          <cell r="CP65" t="str">
            <v>--</v>
          </cell>
          <cell r="CQ65" t="str">
            <v>--</v>
          </cell>
          <cell r="CR65" t="str">
            <v>--</v>
          </cell>
          <cell r="CS65" t="str">
            <v>--</v>
          </cell>
          <cell r="CT65" t="str">
            <v>--</v>
          </cell>
          <cell r="CU65" t="str">
            <v>--</v>
          </cell>
          <cell r="CV65" t="str">
            <v>--</v>
          </cell>
          <cell r="CW65" t="str">
            <v>--</v>
          </cell>
          <cell r="CX65" t="str">
            <v>--</v>
          </cell>
          <cell r="CY65" t="str">
            <v>--</v>
          </cell>
          <cell r="CZ65" t="str">
            <v>--</v>
          </cell>
          <cell r="DA65" t="str">
            <v>--</v>
          </cell>
          <cell r="DB65" t="str">
            <v>--</v>
          </cell>
          <cell r="DC65" t="str">
            <v>--</v>
          </cell>
          <cell r="DD65" t="str">
            <v>--</v>
          </cell>
          <cell r="DE65" t="str">
            <v>--</v>
          </cell>
          <cell r="DF65" t="str">
            <v>--</v>
          </cell>
          <cell r="DG65" t="str">
            <v>--</v>
          </cell>
          <cell r="DH65" t="str">
            <v>--</v>
          </cell>
          <cell r="DI65" t="str">
            <v>--</v>
          </cell>
          <cell r="DJ65" t="str">
            <v>--</v>
          </cell>
          <cell r="DK65" t="str">
            <v>--</v>
          </cell>
          <cell r="DL65" t="str">
            <v>--</v>
          </cell>
          <cell r="DM65" t="str">
            <v>--</v>
          </cell>
          <cell r="DN65" t="str">
            <v>--</v>
          </cell>
          <cell r="DO65" t="str">
            <v>--</v>
          </cell>
          <cell r="DP65" t="str">
            <v>--</v>
          </cell>
          <cell r="DQ65" t="str">
            <v>--</v>
          </cell>
          <cell r="DR65" t="str">
            <v>--</v>
          </cell>
          <cell r="DS65" t="str">
            <v>--</v>
          </cell>
          <cell r="DT65" t="str">
            <v>--</v>
          </cell>
          <cell r="DU65" t="str">
            <v>--</v>
          </cell>
          <cell r="DV65" t="str">
            <v>--</v>
          </cell>
          <cell r="DW65" t="str">
            <v>--</v>
          </cell>
          <cell r="DX65" t="str">
            <v>--</v>
          </cell>
          <cell r="DY65" t="str">
            <v>--</v>
          </cell>
          <cell r="DZ65" t="str">
            <v>--</v>
          </cell>
          <cell r="EA65" t="str">
            <v>--</v>
          </cell>
          <cell r="EB65" t="str">
            <v>--</v>
          </cell>
          <cell r="EC65" t="str">
            <v>--</v>
          </cell>
          <cell r="ED65" t="str">
            <v>--</v>
          </cell>
          <cell r="EE65" t="str">
            <v>--</v>
          </cell>
          <cell r="EF65" t="str">
            <v>--</v>
          </cell>
          <cell r="EG65" t="str">
            <v>--</v>
          </cell>
        </row>
        <row r="66">
          <cell r="A66" t="str">
            <v>00350268Students w/disabilities</v>
          </cell>
          <cell r="B66" t="str">
            <v>00350268D</v>
          </cell>
          <cell r="C66" t="str">
            <v>0035</v>
          </cell>
          <cell r="D66" t="str">
            <v>00350268</v>
          </cell>
          <cell r="E66" t="str">
            <v>Boston</v>
          </cell>
          <cell r="F66" t="str">
            <v>Paul A Dever</v>
          </cell>
          <cell r="G66" t="str">
            <v>ES</v>
          </cell>
          <cell r="H66" t="str">
            <v>Boston - Paul A Dever (00350268)</v>
          </cell>
          <cell r="I66" t="str">
            <v>Students w/disabilities</v>
          </cell>
          <cell r="J66" t="str">
            <v>00350268Students w/disabilities</v>
          </cell>
          <cell r="K66" t="str">
            <v>Level 4</v>
          </cell>
          <cell r="L66">
            <v>33.5</v>
          </cell>
          <cell r="M66">
            <v>39</v>
          </cell>
          <cell r="N66">
            <v>37.200000000000003</v>
          </cell>
          <cell r="O66">
            <v>44.6</v>
          </cell>
          <cell r="P66">
            <v>32.700000000000003</v>
          </cell>
          <cell r="Q66">
            <v>50.1</v>
          </cell>
          <cell r="R66">
            <v>55.7</v>
          </cell>
          <cell r="S66">
            <v>61.2</v>
          </cell>
          <cell r="T66">
            <v>66.8</v>
          </cell>
          <cell r="U66">
            <v>51.1</v>
          </cell>
          <cell r="V66">
            <v>55.2</v>
          </cell>
          <cell r="W66">
            <v>43.1</v>
          </cell>
          <cell r="X66">
            <v>59.3</v>
          </cell>
          <cell r="Y66">
            <v>38.1</v>
          </cell>
          <cell r="Z66">
            <v>63.3</v>
          </cell>
          <cell r="AA66">
            <v>67.400000000000006</v>
          </cell>
          <cell r="AB66">
            <v>71.5</v>
          </cell>
          <cell r="AC66">
            <v>75.599999999999994</v>
          </cell>
          <cell r="AD66" t="str">
            <v>--</v>
          </cell>
          <cell r="AE66" t="str">
            <v>--</v>
          </cell>
          <cell r="AF66" t="str">
            <v>--</v>
          </cell>
          <cell r="AG66" t="str">
            <v>--</v>
          </cell>
          <cell r="AH66" t="str">
            <v>--</v>
          </cell>
          <cell r="AI66" t="str">
            <v>--</v>
          </cell>
          <cell r="AJ66" t="str">
            <v>--</v>
          </cell>
          <cell r="AK66" t="str">
            <v>--</v>
          </cell>
          <cell r="AL66" t="str">
            <v>--</v>
          </cell>
          <cell r="AM66" t="str">
            <v>--</v>
          </cell>
          <cell r="AN66" t="str">
            <v>--</v>
          </cell>
          <cell r="AO66" t="str">
            <v>--</v>
          </cell>
          <cell r="AP66" t="str">
            <v>--</v>
          </cell>
          <cell r="AQ66" t="str">
            <v>--</v>
          </cell>
          <cell r="AR66" t="str">
            <v>--</v>
          </cell>
          <cell r="AS66" t="str">
            <v>--</v>
          </cell>
          <cell r="AT66" t="str">
            <v>--</v>
          </cell>
          <cell r="AU66" t="str">
            <v>--</v>
          </cell>
          <cell r="AV66" t="str">
            <v>--</v>
          </cell>
          <cell r="AW66" t="str">
            <v>--</v>
          </cell>
          <cell r="AX66" t="str">
            <v>--</v>
          </cell>
          <cell r="AY66" t="str">
            <v>--</v>
          </cell>
          <cell r="AZ66" t="str">
            <v>--</v>
          </cell>
          <cell r="BA66" t="str">
            <v>--</v>
          </cell>
          <cell r="BB66" t="str">
            <v>--</v>
          </cell>
          <cell r="BC66" t="str">
            <v>--</v>
          </cell>
          <cell r="BD66" t="str">
            <v>--</v>
          </cell>
          <cell r="BE66" t="str">
            <v>--</v>
          </cell>
          <cell r="BF66" t="str">
            <v>--</v>
          </cell>
          <cell r="BG66" t="str">
            <v>--</v>
          </cell>
          <cell r="BH66" t="str">
            <v>--</v>
          </cell>
          <cell r="BI66" t="str">
            <v>--</v>
          </cell>
          <cell r="BJ66" t="str">
            <v>--</v>
          </cell>
          <cell r="BK66" t="str">
            <v>--</v>
          </cell>
          <cell r="BL66" t="str">
            <v>--</v>
          </cell>
          <cell r="BM66" t="str">
            <v>--</v>
          </cell>
          <cell r="BN66">
            <v>32.5</v>
          </cell>
          <cell r="BO66">
            <v>42.5</v>
          </cell>
          <cell r="BP66">
            <v>38</v>
          </cell>
          <cell r="BQ66">
            <v>42.5</v>
          </cell>
          <cell r="BR66">
            <v>20.5</v>
          </cell>
          <cell r="BS66">
            <v>51</v>
          </cell>
          <cell r="BT66">
            <v>51</v>
          </cell>
          <cell r="BU66">
            <v>51</v>
          </cell>
          <cell r="BV66">
            <v>51</v>
          </cell>
          <cell r="BW66">
            <v>42.5</v>
          </cell>
          <cell r="BX66">
            <v>51</v>
          </cell>
          <cell r="BY66">
            <v>30.5</v>
          </cell>
          <cell r="BZ66">
            <v>40.5</v>
          </cell>
          <cell r="CA66">
            <v>34</v>
          </cell>
          <cell r="CB66">
            <v>51</v>
          </cell>
          <cell r="CC66">
            <v>51</v>
          </cell>
          <cell r="CD66">
            <v>51</v>
          </cell>
          <cell r="CE66">
            <v>51</v>
          </cell>
          <cell r="CF66">
            <v>66</v>
          </cell>
          <cell r="CG66">
            <v>59.4</v>
          </cell>
          <cell r="CH66">
            <v>68.900000000000006</v>
          </cell>
          <cell r="CI66">
            <v>62</v>
          </cell>
          <cell r="CJ66">
            <v>66.7</v>
          </cell>
          <cell r="CK66">
            <v>60</v>
          </cell>
          <cell r="CL66">
            <v>54</v>
          </cell>
          <cell r="CM66">
            <v>48.6</v>
          </cell>
          <cell r="CN66">
            <v>43.8</v>
          </cell>
          <cell r="CO66">
            <v>34.799999999999997</v>
          </cell>
          <cell r="CP66">
            <v>31.3</v>
          </cell>
          <cell r="CQ66">
            <v>55.3</v>
          </cell>
          <cell r="CR66">
            <v>49.8</v>
          </cell>
          <cell r="CS66">
            <v>57.1</v>
          </cell>
          <cell r="CT66">
            <v>51.4</v>
          </cell>
          <cell r="CU66">
            <v>46.3</v>
          </cell>
          <cell r="CV66">
            <v>41.6</v>
          </cell>
          <cell r="CW66">
            <v>37.5</v>
          </cell>
          <cell r="CX66" t="str">
            <v>--</v>
          </cell>
          <cell r="CY66" t="str">
            <v>--</v>
          </cell>
          <cell r="CZ66" t="str">
            <v>--</v>
          </cell>
          <cell r="DA66" t="str">
            <v>--</v>
          </cell>
          <cell r="DB66" t="str">
            <v>--</v>
          </cell>
          <cell r="DC66" t="str">
            <v>--</v>
          </cell>
          <cell r="DD66" t="str">
            <v>--</v>
          </cell>
          <cell r="DE66" t="str">
            <v>--</v>
          </cell>
          <cell r="DF66" t="str">
            <v>--</v>
          </cell>
          <cell r="DG66">
            <v>0</v>
          </cell>
          <cell r="DH66">
            <v>1</v>
          </cell>
          <cell r="DI66">
            <v>0</v>
          </cell>
          <cell r="DJ66">
            <v>1</v>
          </cell>
          <cell r="DK66">
            <v>0</v>
          </cell>
          <cell r="DL66">
            <v>1</v>
          </cell>
          <cell r="DM66">
            <v>1.1000000000000001</v>
          </cell>
          <cell r="DN66">
            <v>1.2</v>
          </cell>
          <cell r="DO66">
            <v>1.3</v>
          </cell>
          <cell r="DP66">
            <v>0</v>
          </cell>
          <cell r="DQ66">
            <v>1</v>
          </cell>
          <cell r="DR66">
            <v>2.1</v>
          </cell>
          <cell r="DS66">
            <v>2.2999999999999998</v>
          </cell>
          <cell r="DT66">
            <v>2.4</v>
          </cell>
          <cell r="DU66">
            <v>2.6</v>
          </cell>
          <cell r="DV66">
            <v>2.9</v>
          </cell>
          <cell r="DW66">
            <v>3.2</v>
          </cell>
          <cell r="DX66">
            <v>3.5</v>
          </cell>
          <cell r="DY66" t="str">
            <v>--</v>
          </cell>
          <cell r="DZ66" t="str">
            <v>--</v>
          </cell>
          <cell r="EA66" t="str">
            <v>--</v>
          </cell>
          <cell r="EB66" t="str">
            <v>--</v>
          </cell>
          <cell r="EC66" t="str">
            <v>--</v>
          </cell>
          <cell r="ED66" t="str">
            <v>--</v>
          </cell>
          <cell r="EE66" t="str">
            <v>--</v>
          </cell>
          <cell r="EF66" t="str">
            <v>--</v>
          </cell>
          <cell r="EG66" t="str">
            <v>--</v>
          </cell>
        </row>
        <row r="67">
          <cell r="A67" t="str">
            <v>00350268Low income</v>
          </cell>
          <cell r="B67" t="str">
            <v>00350268F</v>
          </cell>
          <cell r="C67" t="str">
            <v>0035</v>
          </cell>
          <cell r="D67" t="str">
            <v>00350268</v>
          </cell>
          <cell r="E67" t="str">
            <v>Boston</v>
          </cell>
          <cell r="F67" t="str">
            <v>Paul A Dever</v>
          </cell>
          <cell r="G67" t="str">
            <v>ES</v>
          </cell>
          <cell r="H67" t="str">
            <v>Boston - Paul A Dever (00350268)</v>
          </cell>
          <cell r="I67" t="str">
            <v>Low income</v>
          </cell>
          <cell r="J67" t="str">
            <v>00350268Low income</v>
          </cell>
          <cell r="K67" t="str">
            <v>Level 4</v>
          </cell>
          <cell r="L67">
            <v>53.4</v>
          </cell>
          <cell r="M67">
            <v>57.3</v>
          </cell>
          <cell r="N67">
            <v>54.7</v>
          </cell>
          <cell r="O67">
            <v>61.2</v>
          </cell>
          <cell r="P67">
            <v>50.5</v>
          </cell>
          <cell r="Q67">
            <v>65.099999999999994</v>
          </cell>
          <cell r="R67">
            <v>68.900000000000006</v>
          </cell>
          <cell r="S67">
            <v>72.8</v>
          </cell>
          <cell r="T67">
            <v>76.7</v>
          </cell>
          <cell r="U67">
            <v>65.2</v>
          </cell>
          <cell r="V67">
            <v>68.099999999999994</v>
          </cell>
          <cell r="W67">
            <v>58.1</v>
          </cell>
          <cell r="X67">
            <v>71</v>
          </cell>
          <cell r="Y67">
            <v>61.4</v>
          </cell>
          <cell r="Z67">
            <v>73.900000000000006</v>
          </cell>
          <cell r="AA67">
            <v>76.8</v>
          </cell>
          <cell r="AB67">
            <v>79.7</v>
          </cell>
          <cell r="AC67">
            <v>82.6</v>
          </cell>
          <cell r="AD67">
            <v>33.5</v>
          </cell>
          <cell r="AE67">
            <v>39</v>
          </cell>
          <cell r="AF67">
            <v>43.4</v>
          </cell>
          <cell r="AG67">
            <v>44.6</v>
          </cell>
          <cell r="AH67">
            <v>31.3</v>
          </cell>
          <cell r="AI67">
            <v>50.1</v>
          </cell>
          <cell r="AJ67">
            <v>55.7</v>
          </cell>
          <cell r="AK67">
            <v>61.2</v>
          </cell>
          <cell r="AL67">
            <v>66.8</v>
          </cell>
          <cell r="AM67" t="str">
            <v>--</v>
          </cell>
          <cell r="AN67" t="str">
            <v>--</v>
          </cell>
          <cell r="AO67" t="str">
            <v>--</v>
          </cell>
          <cell r="AP67" t="str">
            <v>--</v>
          </cell>
          <cell r="AQ67" t="str">
            <v>--</v>
          </cell>
          <cell r="AR67" t="str">
            <v>--</v>
          </cell>
          <cell r="AS67" t="str">
            <v>--</v>
          </cell>
          <cell r="AT67" t="str">
            <v>--</v>
          </cell>
          <cell r="AU67" t="str">
            <v>--</v>
          </cell>
          <cell r="AV67" t="str">
            <v>--</v>
          </cell>
          <cell r="AW67" t="str">
            <v>--</v>
          </cell>
          <cell r="AX67" t="str">
            <v>--</v>
          </cell>
          <cell r="AY67" t="str">
            <v>--</v>
          </cell>
          <cell r="AZ67" t="str">
            <v>--</v>
          </cell>
          <cell r="BA67" t="str">
            <v>--</v>
          </cell>
          <cell r="BB67" t="str">
            <v>--</v>
          </cell>
          <cell r="BC67" t="str">
            <v>--</v>
          </cell>
          <cell r="BD67" t="str">
            <v>--</v>
          </cell>
          <cell r="BE67" t="str">
            <v>--</v>
          </cell>
          <cell r="BF67" t="str">
            <v>--</v>
          </cell>
          <cell r="BG67" t="str">
            <v>--</v>
          </cell>
          <cell r="BH67" t="str">
            <v>--</v>
          </cell>
          <cell r="BI67" t="str">
            <v>--</v>
          </cell>
          <cell r="BJ67" t="str">
            <v>--</v>
          </cell>
          <cell r="BK67" t="str">
            <v>--</v>
          </cell>
          <cell r="BL67" t="str">
            <v>--</v>
          </cell>
          <cell r="BM67" t="str">
            <v>--</v>
          </cell>
          <cell r="BN67">
            <v>46</v>
          </cell>
          <cell r="BO67">
            <v>51</v>
          </cell>
          <cell r="BP67">
            <v>51</v>
          </cell>
          <cell r="BQ67">
            <v>51</v>
          </cell>
          <cell r="BR67">
            <v>25.5</v>
          </cell>
          <cell r="BS67">
            <v>35.5</v>
          </cell>
          <cell r="BT67">
            <v>45.5</v>
          </cell>
          <cell r="BU67">
            <v>51</v>
          </cell>
          <cell r="BV67">
            <v>51</v>
          </cell>
          <cell r="BW67">
            <v>68</v>
          </cell>
          <cell r="BX67">
            <v>51</v>
          </cell>
          <cell r="BY67">
            <v>34</v>
          </cell>
          <cell r="BZ67">
            <v>44</v>
          </cell>
          <cell r="CA67">
            <v>51.5</v>
          </cell>
          <cell r="CB67">
            <v>51</v>
          </cell>
          <cell r="CC67">
            <v>51</v>
          </cell>
          <cell r="CD67">
            <v>51</v>
          </cell>
          <cell r="CE67">
            <v>51</v>
          </cell>
          <cell r="CF67">
            <v>33.700000000000003</v>
          </cell>
          <cell r="CG67">
            <v>30.3</v>
          </cell>
          <cell r="CH67">
            <v>39.6</v>
          </cell>
          <cell r="CI67">
            <v>35.6</v>
          </cell>
          <cell r="CJ67">
            <v>37.9</v>
          </cell>
          <cell r="CK67">
            <v>34.1</v>
          </cell>
          <cell r="CL67">
            <v>30.7</v>
          </cell>
          <cell r="CM67">
            <v>27.6</v>
          </cell>
          <cell r="CN67">
            <v>24.9</v>
          </cell>
          <cell r="CO67">
            <v>23.5</v>
          </cell>
          <cell r="CP67">
            <v>21.2</v>
          </cell>
          <cell r="CQ67">
            <v>37.200000000000003</v>
          </cell>
          <cell r="CR67">
            <v>33.5</v>
          </cell>
          <cell r="CS67">
            <v>29.3</v>
          </cell>
          <cell r="CT67">
            <v>26.4</v>
          </cell>
          <cell r="CU67">
            <v>23.7</v>
          </cell>
          <cell r="CV67">
            <v>21.4</v>
          </cell>
          <cell r="CW67">
            <v>19.2</v>
          </cell>
          <cell r="CX67">
            <v>67.900000000000006</v>
          </cell>
          <cell r="CY67">
            <v>61.1</v>
          </cell>
          <cell r="CZ67">
            <v>57.4</v>
          </cell>
          <cell r="DA67">
            <v>51.7</v>
          </cell>
          <cell r="DB67">
            <v>71.7</v>
          </cell>
          <cell r="DC67">
            <v>64.5</v>
          </cell>
          <cell r="DD67">
            <v>58.1</v>
          </cell>
          <cell r="DE67">
            <v>52.3</v>
          </cell>
          <cell r="DF67">
            <v>47</v>
          </cell>
          <cell r="DG67">
            <v>0.6</v>
          </cell>
          <cell r="DH67">
            <v>0.7</v>
          </cell>
          <cell r="DI67">
            <v>0.5</v>
          </cell>
          <cell r="DJ67">
            <v>0.6</v>
          </cell>
          <cell r="DK67">
            <v>1.4</v>
          </cell>
          <cell r="DL67">
            <v>1.5</v>
          </cell>
          <cell r="DM67">
            <v>1.7</v>
          </cell>
          <cell r="DN67">
            <v>1.9</v>
          </cell>
          <cell r="DO67">
            <v>2</v>
          </cell>
          <cell r="DP67">
            <v>3.9</v>
          </cell>
          <cell r="DQ67">
            <v>4.3</v>
          </cell>
          <cell r="DR67">
            <v>5.8</v>
          </cell>
          <cell r="DS67">
            <v>6.4</v>
          </cell>
          <cell r="DT67">
            <v>7.7</v>
          </cell>
          <cell r="DU67">
            <v>8.5</v>
          </cell>
          <cell r="DV67">
            <v>9.3000000000000007</v>
          </cell>
          <cell r="DW67">
            <v>10.199999999999999</v>
          </cell>
          <cell r="DX67">
            <v>11.3</v>
          </cell>
          <cell r="DY67">
            <v>0</v>
          </cell>
          <cell r="DZ67">
            <v>1</v>
          </cell>
          <cell r="EA67">
            <v>0</v>
          </cell>
          <cell r="EB67">
            <v>1</v>
          </cell>
          <cell r="EC67">
            <v>0</v>
          </cell>
          <cell r="ED67">
            <v>1</v>
          </cell>
          <cell r="EE67">
            <v>1.1000000000000001</v>
          </cell>
          <cell r="EF67">
            <v>1.2</v>
          </cell>
          <cell r="EG67">
            <v>1.3</v>
          </cell>
        </row>
        <row r="68">
          <cell r="A68" t="str">
            <v>00350268Hispanic/Latino</v>
          </cell>
          <cell r="B68" t="str">
            <v>00350268H</v>
          </cell>
          <cell r="C68" t="str">
            <v>0035</v>
          </cell>
          <cell r="D68" t="str">
            <v>00350268</v>
          </cell>
          <cell r="E68" t="str">
            <v>Boston</v>
          </cell>
          <cell r="F68" t="str">
            <v>Paul A Dever</v>
          </cell>
          <cell r="G68" t="str">
            <v>ES</v>
          </cell>
          <cell r="H68" t="str">
            <v>Boston - Paul A Dever (00350268)</v>
          </cell>
          <cell r="I68" t="str">
            <v>Hispanic/Latino</v>
          </cell>
          <cell r="J68" t="str">
            <v>00350268Hispanic/Latino</v>
          </cell>
          <cell r="K68" t="str">
            <v>Level 4</v>
          </cell>
          <cell r="L68">
            <v>52.5</v>
          </cell>
          <cell r="M68">
            <v>56.5</v>
          </cell>
          <cell r="N68">
            <v>51.3</v>
          </cell>
          <cell r="O68">
            <v>60.4</v>
          </cell>
          <cell r="P68">
            <v>47.3</v>
          </cell>
          <cell r="Q68">
            <v>64.400000000000006</v>
          </cell>
          <cell r="R68">
            <v>68.3</v>
          </cell>
          <cell r="S68">
            <v>72.3</v>
          </cell>
          <cell r="T68">
            <v>76.3</v>
          </cell>
          <cell r="U68">
            <v>63.5</v>
          </cell>
          <cell r="V68">
            <v>66.5</v>
          </cell>
          <cell r="W68">
            <v>55.2</v>
          </cell>
          <cell r="X68">
            <v>69.599999999999994</v>
          </cell>
          <cell r="Y68">
            <v>59.4</v>
          </cell>
          <cell r="Z68">
            <v>72.599999999999994</v>
          </cell>
          <cell r="AA68">
            <v>75.7</v>
          </cell>
          <cell r="AB68">
            <v>78.7</v>
          </cell>
          <cell r="AC68">
            <v>81.8</v>
          </cell>
          <cell r="AD68">
            <v>34.299999999999997</v>
          </cell>
          <cell r="AE68">
            <v>39.799999999999997</v>
          </cell>
          <cell r="AF68">
            <v>44.1</v>
          </cell>
          <cell r="AG68">
            <v>45.3</v>
          </cell>
          <cell r="AH68">
            <v>31.1</v>
          </cell>
          <cell r="AI68">
            <v>50.7</v>
          </cell>
          <cell r="AJ68">
            <v>56.2</v>
          </cell>
          <cell r="AK68">
            <v>61.7</v>
          </cell>
          <cell r="AL68">
            <v>67.2</v>
          </cell>
          <cell r="AM68" t="str">
            <v>--</v>
          </cell>
          <cell r="AN68" t="str">
            <v>--</v>
          </cell>
          <cell r="AO68" t="str">
            <v>--</v>
          </cell>
          <cell r="AP68" t="str">
            <v>--</v>
          </cell>
          <cell r="AQ68" t="str">
            <v>--</v>
          </cell>
          <cell r="AR68" t="str">
            <v>--</v>
          </cell>
          <cell r="AS68" t="str">
            <v>--</v>
          </cell>
          <cell r="AT68" t="str">
            <v>--</v>
          </cell>
          <cell r="AU68" t="str">
            <v>--</v>
          </cell>
          <cell r="AV68" t="str">
            <v>--</v>
          </cell>
          <cell r="AW68" t="str">
            <v>--</v>
          </cell>
          <cell r="AX68" t="str">
            <v>--</v>
          </cell>
          <cell r="AY68" t="str">
            <v>--</v>
          </cell>
          <cell r="AZ68" t="str">
            <v>--</v>
          </cell>
          <cell r="BA68" t="str">
            <v>--</v>
          </cell>
          <cell r="BB68" t="str">
            <v>--</v>
          </cell>
          <cell r="BC68" t="str">
            <v>--</v>
          </cell>
          <cell r="BD68" t="str">
            <v>--</v>
          </cell>
          <cell r="BE68" t="str">
            <v>--</v>
          </cell>
          <cell r="BF68" t="str">
            <v>--</v>
          </cell>
          <cell r="BG68" t="str">
            <v>--</v>
          </cell>
          <cell r="BH68" t="str">
            <v>--</v>
          </cell>
          <cell r="BI68" t="str">
            <v>--</v>
          </cell>
          <cell r="BJ68" t="str">
            <v>--</v>
          </cell>
          <cell r="BK68" t="str">
            <v>--</v>
          </cell>
          <cell r="BL68" t="str">
            <v>--</v>
          </cell>
          <cell r="BM68" t="str">
            <v>--</v>
          </cell>
          <cell r="BN68">
            <v>52</v>
          </cell>
          <cell r="BO68">
            <v>51</v>
          </cell>
          <cell r="BP68">
            <v>48</v>
          </cell>
          <cell r="BQ68">
            <v>51</v>
          </cell>
          <cell r="BR68">
            <v>25.5</v>
          </cell>
          <cell r="BS68">
            <v>35.5</v>
          </cell>
          <cell r="BT68">
            <v>45.5</v>
          </cell>
          <cell r="BU68">
            <v>51</v>
          </cell>
          <cell r="BV68">
            <v>51</v>
          </cell>
          <cell r="BW68">
            <v>70</v>
          </cell>
          <cell r="BX68">
            <v>51</v>
          </cell>
          <cell r="BY68">
            <v>34.5</v>
          </cell>
          <cell r="BZ68">
            <v>44.5</v>
          </cell>
          <cell r="CA68">
            <v>52</v>
          </cell>
          <cell r="CB68">
            <v>51</v>
          </cell>
          <cell r="CC68">
            <v>51</v>
          </cell>
          <cell r="CD68">
            <v>51</v>
          </cell>
          <cell r="CE68">
            <v>51</v>
          </cell>
          <cell r="CF68">
            <v>34.9</v>
          </cell>
          <cell r="CG68">
            <v>31.4</v>
          </cell>
          <cell r="CH68">
            <v>44.8</v>
          </cell>
          <cell r="CI68">
            <v>40.299999999999997</v>
          </cell>
          <cell r="CJ68">
            <v>40.6</v>
          </cell>
          <cell r="CK68">
            <v>36.5</v>
          </cell>
          <cell r="CL68">
            <v>32.9</v>
          </cell>
          <cell r="CM68">
            <v>29.6</v>
          </cell>
          <cell r="CN68">
            <v>26.6</v>
          </cell>
          <cell r="CO68">
            <v>24.3</v>
          </cell>
          <cell r="CP68">
            <v>21.9</v>
          </cell>
          <cell r="CQ68">
            <v>37.9</v>
          </cell>
          <cell r="CR68">
            <v>34.1</v>
          </cell>
          <cell r="CS68">
            <v>28.2</v>
          </cell>
          <cell r="CT68">
            <v>25.4</v>
          </cell>
          <cell r="CU68">
            <v>22.8</v>
          </cell>
          <cell r="CV68">
            <v>20.6</v>
          </cell>
          <cell r="CW68">
            <v>18.5</v>
          </cell>
          <cell r="CX68">
            <v>65.7</v>
          </cell>
          <cell r="CY68">
            <v>59.1</v>
          </cell>
          <cell r="CZ68">
            <v>60.5</v>
          </cell>
          <cell r="DA68">
            <v>54.5</v>
          </cell>
          <cell r="DB68">
            <v>75.599999999999994</v>
          </cell>
          <cell r="DC68">
            <v>68</v>
          </cell>
          <cell r="DD68">
            <v>61.2</v>
          </cell>
          <cell r="DE68">
            <v>55.1</v>
          </cell>
          <cell r="DF68">
            <v>49.6</v>
          </cell>
          <cell r="DG68">
            <v>0.9</v>
          </cell>
          <cell r="DH68">
            <v>1</v>
          </cell>
          <cell r="DI68">
            <v>0</v>
          </cell>
          <cell r="DJ68">
            <v>1</v>
          </cell>
          <cell r="DK68">
            <v>0</v>
          </cell>
          <cell r="DL68">
            <v>1</v>
          </cell>
          <cell r="DM68">
            <v>1.1000000000000001</v>
          </cell>
          <cell r="DN68">
            <v>1.2</v>
          </cell>
          <cell r="DO68">
            <v>1.3</v>
          </cell>
          <cell r="DP68">
            <v>2.7</v>
          </cell>
          <cell r="DQ68">
            <v>3</v>
          </cell>
          <cell r="DR68">
            <v>2.6</v>
          </cell>
          <cell r="DS68">
            <v>2.9</v>
          </cell>
          <cell r="DT68">
            <v>3.8</v>
          </cell>
          <cell r="DU68">
            <v>4.2</v>
          </cell>
          <cell r="DV68">
            <v>4.5999999999999996</v>
          </cell>
          <cell r="DW68">
            <v>5.0999999999999996</v>
          </cell>
          <cell r="DX68">
            <v>5.6</v>
          </cell>
          <cell r="DY68">
            <v>0</v>
          </cell>
          <cell r="DZ68">
            <v>1</v>
          </cell>
          <cell r="EA68">
            <v>0</v>
          </cell>
          <cell r="EB68">
            <v>1</v>
          </cell>
          <cell r="EC68">
            <v>0</v>
          </cell>
          <cell r="ED68">
            <v>1</v>
          </cell>
          <cell r="EE68">
            <v>1.1000000000000001</v>
          </cell>
          <cell r="EF68">
            <v>1.2</v>
          </cell>
          <cell r="EG68">
            <v>1.3</v>
          </cell>
        </row>
        <row r="69">
          <cell r="A69" t="str">
            <v>00350268ELL and Former ELL</v>
          </cell>
          <cell r="B69" t="str">
            <v>00350268L</v>
          </cell>
          <cell r="C69" t="str">
            <v>0035</v>
          </cell>
          <cell r="D69" t="str">
            <v>00350268</v>
          </cell>
          <cell r="E69" t="str">
            <v>Boston</v>
          </cell>
          <cell r="F69" t="str">
            <v>Paul A Dever</v>
          </cell>
          <cell r="G69" t="str">
            <v>ES</v>
          </cell>
          <cell r="H69" t="str">
            <v>Boston - Paul A Dever (00350268)</v>
          </cell>
          <cell r="I69" t="str">
            <v>ELL and Former ELL</v>
          </cell>
          <cell r="J69" t="str">
            <v>00350268ELL and Former ELL</v>
          </cell>
          <cell r="K69" t="str">
            <v>Level 4</v>
          </cell>
          <cell r="L69">
            <v>58.5</v>
          </cell>
          <cell r="M69">
            <v>62</v>
          </cell>
          <cell r="N69">
            <v>54.3</v>
          </cell>
          <cell r="O69">
            <v>65.400000000000006</v>
          </cell>
          <cell r="P69">
            <v>51.4</v>
          </cell>
          <cell r="Q69">
            <v>68.900000000000006</v>
          </cell>
          <cell r="R69">
            <v>72.3</v>
          </cell>
          <cell r="S69">
            <v>75.8</v>
          </cell>
          <cell r="T69">
            <v>79.3</v>
          </cell>
          <cell r="U69">
            <v>68.099999999999994</v>
          </cell>
          <cell r="V69">
            <v>70.8</v>
          </cell>
          <cell r="W69">
            <v>58.6</v>
          </cell>
          <cell r="X69">
            <v>73.400000000000006</v>
          </cell>
          <cell r="Y69">
            <v>63.6</v>
          </cell>
          <cell r="Z69">
            <v>76.099999999999994</v>
          </cell>
          <cell r="AA69">
            <v>78.7</v>
          </cell>
          <cell r="AB69">
            <v>81.400000000000006</v>
          </cell>
          <cell r="AC69">
            <v>84.1</v>
          </cell>
          <cell r="AD69">
            <v>33.1</v>
          </cell>
          <cell r="AE69">
            <v>38.700000000000003</v>
          </cell>
          <cell r="AF69">
            <v>38.200000000000003</v>
          </cell>
          <cell r="AG69">
            <v>44.3</v>
          </cell>
          <cell r="AH69">
            <v>33.9</v>
          </cell>
          <cell r="AI69">
            <v>49.8</v>
          </cell>
          <cell r="AJ69">
            <v>55.4</v>
          </cell>
          <cell r="AK69">
            <v>61</v>
          </cell>
          <cell r="AL69">
            <v>66.599999999999994</v>
          </cell>
          <cell r="AM69" t="str">
            <v>--</v>
          </cell>
          <cell r="AN69" t="str">
            <v>--</v>
          </cell>
          <cell r="AO69" t="str">
            <v>--</v>
          </cell>
          <cell r="AP69" t="str">
            <v>--</v>
          </cell>
          <cell r="AQ69" t="str">
            <v>--</v>
          </cell>
          <cell r="AR69" t="str">
            <v>--</v>
          </cell>
          <cell r="AS69" t="str">
            <v>--</v>
          </cell>
          <cell r="AT69" t="str">
            <v>--</v>
          </cell>
          <cell r="AU69" t="str">
            <v>--</v>
          </cell>
          <cell r="AV69" t="str">
            <v>--</v>
          </cell>
          <cell r="AW69" t="str">
            <v>--</v>
          </cell>
          <cell r="AX69" t="str">
            <v>--</v>
          </cell>
          <cell r="AY69" t="str">
            <v>--</v>
          </cell>
          <cell r="AZ69" t="str">
            <v>--</v>
          </cell>
          <cell r="BA69" t="str">
            <v>--</v>
          </cell>
          <cell r="BB69" t="str">
            <v>--</v>
          </cell>
          <cell r="BC69" t="str">
            <v>--</v>
          </cell>
          <cell r="BD69" t="str">
            <v>--</v>
          </cell>
          <cell r="BE69" t="str">
            <v>--</v>
          </cell>
          <cell r="BF69" t="str">
            <v>--</v>
          </cell>
          <cell r="BG69" t="str">
            <v>--</v>
          </cell>
          <cell r="BH69" t="str">
            <v>--</v>
          </cell>
          <cell r="BI69" t="str">
            <v>--</v>
          </cell>
          <cell r="BJ69" t="str">
            <v>--</v>
          </cell>
          <cell r="BK69" t="str">
            <v>--</v>
          </cell>
          <cell r="BL69" t="str">
            <v>--</v>
          </cell>
          <cell r="BM69" t="str">
            <v>--</v>
          </cell>
          <cell r="BN69">
            <v>51.5</v>
          </cell>
          <cell r="BO69">
            <v>51</v>
          </cell>
          <cell r="BP69">
            <v>48</v>
          </cell>
          <cell r="BQ69">
            <v>51</v>
          </cell>
          <cell r="BR69">
            <v>26</v>
          </cell>
          <cell r="BS69">
            <v>36</v>
          </cell>
          <cell r="BT69">
            <v>46</v>
          </cell>
          <cell r="BU69">
            <v>51</v>
          </cell>
          <cell r="BV69">
            <v>51</v>
          </cell>
          <cell r="BW69">
            <v>68</v>
          </cell>
          <cell r="BX69">
            <v>51</v>
          </cell>
          <cell r="BY69">
            <v>37</v>
          </cell>
          <cell r="BZ69">
            <v>47</v>
          </cell>
          <cell r="CA69">
            <v>60</v>
          </cell>
          <cell r="CB69">
            <v>51</v>
          </cell>
          <cell r="CC69">
            <v>51</v>
          </cell>
          <cell r="CD69">
            <v>51</v>
          </cell>
          <cell r="CE69">
            <v>51</v>
          </cell>
          <cell r="CF69">
            <v>28.2</v>
          </cell>
          <cell r="CG69">
            <v>25.4</v>
          </cell>
          <cell r="CH69">
            <v>38.299999999999997</v>
          </cell>
          <cell r="CI69">
            <v>34.5</v>
          </cell>
          <cell r="CJ69">
            <v>38.700000000000003</v>
          </cell>
          <cell r="CK69">
            <v>34.799999999999997</v>
          </cell>
          <cell r="CL69">
            <v>31.3</v>
          </cell>
          <cell r="CM69">
            <v>28.2</v>
          </cell>
          <cell r="CN69">
            <v>25.4</v>
          </cell>
          <cell r="CO69">
            <v>21</v>
          </cell>
          <cell r="CP69">
            <v>18.899999999999999</v>
          </cell>
          <cell r="CQ69">
            <v>34.200000000000003</v>
          </cell>
          <cell r="CR69">
            <v>30.8</v>
          </cell>
          <cell r="CS69">
            <v>27.2</v>
          </cell>
          <cell r="CT69">
            <v>24.5</v>
          </cell>
          <cell r="CU69">
            <v>22</v>
          </cell>
          <cell r="CV69">
            <v>19.8</v>
          </cell>
          <cell r="CW69">
            <v>17.8</v>
          </cell>
          <cell r="CX69">
            <v>67.599999999999994</v>
          </cell>
          <cell r="CY69">
            <v>60.8</v>
          </cell>
          <cell r="CZ69">
            <v>67.599999999999994</v>
          </cell>
          <cell r="DA69">
            <v>60.8</v>
          </cell>
          <cell r="DB69">
            <v>66.7</v>
          </cell>
          <cell r="DC69">
            <v>60</v>
          </cell>
          <cell r="DD69">
            <v>54</v>
          </cell>
          <cell r="DE69">
            <v>48.6</v>
          </cell>
          <cell r="DF69">
            <v>43.8</v>
          </cell>
          <cell r="DG69">
            <v>0.9</v>
          </cell>
          <cell r="DH69">
            <v>1</v>
          </cell>
          <cell r="DI69">
            <v>0</v>
          </cell>
          <cell r="DJ69">
            <v>1</v>
          </cell>
          <cell r="DK69">
            <v>0.8</v>
          </cell>
          <cell r="DL69">
            <v>0.9</v>
          </cell>
          <cell r="DM69">
            <v>1</v>
          </cell>
          <cell r="DN69">
            <v>1.1000000000000001</v>
          </cell>
          <cell r="DO69">
            <v>1.2</v>
          </cell>
          <cell r="DP69">
            <v>5</v>
          </cell>
          <cell r="DQ69">
            <v>5.5</v>
          </cell>
          <cell r="DR69">
            <v>4.4000000000000004</v>
          </cell>
          <cell r="DS69">
            <v>4.8</v>
          </cell>
          <cell r="DT69">
            <v>8.8000000000000007</v>
          </cell>
          <cell r="DU69">
            <v>9.6999999999999993</v>
          </cell>
          <cell r="DV69">
            <v>10.6</v>
          </cell>
          <cell r="DW69">
            <v>11.7</v>
          </cell>
          <cell r="DX69">
            <v>12.9</v>
          </cell>
          <cell r="DY69">
            <v>0</v>
          </cell>
          <cell r="DZ69">
            <v>1</v>
          </cell>
          <cell r="EA69">
            <v>0</v>
          </cell>
          <cell r="EB69">
            <v>1</v>
          </cell>
          <cell r="EC69">
            <v>0</v>
          </cell>
          <cell r="ED69">
            <v>1</v>
          </cell>
          <cell r="EE69">
            <v>1.1000000000000001</v>
          </cell>
          <cell r="EF69">
            <v>1.2</v>
          </cell>
          <cell r="EG69">
            <v>1.3</v>
          </cell>
        </row>
        <row r="70">
          <cell r="A70" t="str">
            <v>00350268Multi-race, Non-Hisp./Lat.</v>
          </cell>
          <cell r="B70" t="str">
            <v>00350268M</v>
          </cell>
          <cell r="C70" t="str">
            <v>0035</v>
          </cell>
          <cell r="D70" t="str">
            <v>00350268</v>
          </cell>
          <cell r="E70" t="str">
            <v>Boston</v>
          </cell>
          <cell r="F70" t="str">
            <v>Paul A Dever</v>
          </cell>
          <cell r="G70" t="str">
            <v>ES</v>
          </cell>
          <cell r="H70" t="str">
            <v>Boston - Paul A Dever (00350268)</v>
          </cell>
          <cell r="I70" t="str">
            <v>Multi-race, Non-Hisp./Lat.</v>
          </cell>
          <cell r="J70" t="str">
            <v>00350268Multi-race, Non-Hisp./Lat.</v>
          </cell>
          <cell r="K70" t="str">
            <v>Level 4</v>
          </cell>
          <cell r="L70" t="str">
            <v>--</v>
          </cell>
          <cell r="M70" t="str">
            <v>--</v>
          </cell>
          <cell r="N70" t="str">
            <v>--</v>
          </cell>
          <cell r="O70" t="str">
            <v>--</v>
          </cell>
          <cell r="P70" t="str">
            <v>--</v>
          </cell>
          <cell r="Q70" t="str">
            <v>--</v>
          </cell>
          <cell r="R70" t="str">
            <v>--</v>
          </cell>
          <cell r="S70" t="str">
            <v>--</v>
          </cell>
          <cell r="T70" t="str">
            <v>--</v>
          </cell>
          <cell r="U70" t="str">
            <v>--</v>
          </cell>
          <cell r="V70" t="str">
            <v>--</v>
          </cell>
          <cell r="W70" t="str">
            <v>--</v>
          </cell>
          <cell r="X70" t="str">
            <v>--</v>
          </cell>
          <cell r="Y70" t="str">
            <v>--</v>
          </cell>
          <cell r="Z70" t="str">
            <v>--</v>
          </cell>
          <cell r="AA70" t="str">
            <v>--</v>
          </cell>
          <cell r="AB70" t="str">
            <v>--</v>
          </cell>
          <cell r="AC70" t="str">
            <v>--</v>
          </cell>
          <cell r="AD70" t="str">
            <v>--</v>
          </cell>
          <cell r="AE70" t="str">
            <v>--</v>
          </cell>
          <cell r="AF70" t="str">
            <v>--</v>
          </cell>
          <cell r="AG70" t="str">
            <v>--</v>
          </cell>
          <cell r="AH70" t="str">
            <v>--</v>
          </cell>
          <cell r="AI70" t="str">
            <v>--</v>
          </cell>
          <cell r="AJ70" t="str">
            <v>--</v>
          </cell>
          <cell r="AK70" t="str">
            <v>--</v>
          </cell>
          <cell r="AL70" t="str">
            <v>--</v>
          </cell>
          <cell r="AM70" t="str">
            <v>--</v>
          </cell>
          <cell r="AN70" t="str">
            <v>--</v>
          </cell>
          <cell r="AO70" t="str">
            <v>--</v>
          </cell>
          <cell r="AP70" t="str">
            <v>--</v>
          </cell>
          <cell r="AQ70" t="str">
            <v>--</v>
          </cell>
          <cell r="AR70" t="str">
            <v>--</v>
          </cell>
          <cell r="AS70" t="str">
            <v>--</v>
          </cell>
          <cell r="AT70" t="str">
            <v>--</v>
          </cell>
          <cell r="AU70" t="str">
            <v>--</v>
          </cell>
          <cell r="AV70" t="str">
            <v>--</v>
          </cell>
          <cell r="AW70" t="str">
            <v>--</v>
          </cell>
          <cell r="AX70" t="str">
            <v>--</v>
          </cell>
          <cell r="AY70" t="str">
            <v>--</v>
          </cell>
          <cell r="AZ70" t="str">
            <v>--</v>
          </cell>
          <cell r="BA70" t="str">
            <v>--</v>
          </cell>
          <cell r="BB70" t="str">
            <v>--</v>
          </cell>
          <cell r="BC70" t="str">
            <v>--</v>
          </cell>
          <cell r="BD70" t="str">
            <v>--</v>
          </cell>
          <cell r="BE70" t="str">
            <v>--</v>
          </cell>
          <cell r="BF70" t="str">
            <v>--</v>
          </cell>
          <cell r="BG70" t="str">
            <v>--</v>
          </cell>
          <cell r="BH70" t="str">
            <v>--</v>
          </cell>
          <cell r="BI70" t="str">
            <v>--</v>
          </cell>
          <cell r="BJ70" t="str">
            <v>--</v>
          </cell>
          <cell r="BK70" t="str">
            <v>--</v>
          </cell>
          <cell r="BL70" t="str">
            <v>--</v>
          </cell>
          <cell r="BM70" t="str">
            <v>--</v>
          </cell>
          <cell r="BN70" t="str">
            <v>--</v>
          </cell>
          <cell r="BO70" t="str">
            <v>--</v>
          </cell>
          <cell r="BP70" t="str">
            <v>--</v>
          </cell>
          <cell r="BQ70" t="str">
            <v>--</v>
          </cell>
          <cell r="BR70" t="str">
            <v>--</v>
          </cell>
          <cell r="BS70" t="str">
            <v>--</v>
          </cell>
          <cell r="BT70" t="str">
            <v>--</v>
          </cell>
          <cell r="BU70" t="str">
            <v>--</v>
          </cell>
          <cell r="BV70" t="str">
            <v>--</v>
          </cell>
          <cell r="BW70" t="str">
            <v>--</v>
          </cell>
          <cell r="BX70" t="str">
            <v>--</v>
          </cell>
          <cell r="BY70" t="str">
            <v>--</v>
          </cell>
          <cell r="BZ70" t="str">
            <v>--</v>
          </cell>
          <cell r="CA70" t="str">
            <v>--</v>
          </cell>
          <cell r="CB70" t="str">
            <v>--</v>
          </cell>
          <cell r="CC70" t="str">
            <v>--</v>
          </cell>
          <cell r="CD70" t="str">
            <v>--</v>
          </cell>
          <cell r="CE70" t="str">
            <v>--</v>
          </cell>
          <cell r="CF70" t="str">
            <v>--</v>
          </cell>
          <cell r="CG70" t="str">
            <v>--</v>
          </cell>
          <cell r="CH70" t="str">
            <v>--</v>
          </cell>
          <cell r="CI70" t="str">
            <v>--</v>
          </cell>
          <cell r="CJ70" t="str">
            <v>--</v>
          </cell>
          <cell r="CK70" t="str">
            <v>--</v>
          </cell>
          <cell r="CL70" t="str">
            <v>--</v>
          </cell>
          <cell r="CM70" t="str">
            <v>--</v>
          </cell>
          <cell r="CN70" t="str">
            <v>--</v>
          </cell>
          <cell r="CO70" t="str">
            <v>--</v>
          </cell>
          <cell r="CP70" t="str">
            <v>--</v>
          </cell>
          <cell r="CQ70" t="str">
            <v>--</v>
          </cell>
          <cell r="CR70" t="str">
            <v>--</v>
          </cell>
          <cell r="CS70" t="str">
            <v>--</v>
          </cell>
          <cell r="CT70" t="str">
            <v>--</v>
          </cell>
          <cell r="CU70" t="str">
            <v>--</v>
          </cell>
          <cell r="CV70" t="str">
            <v>--</v>
          </cell>
          <cell r="CW70" t="str">
            <v>--</v>
          </cell>
          <cell r="CX70" t="str">
            <v>--</v>
          </cell>
          <cell r="CY70" t="str">
            <v>--</v>
          </cell>
          <cell r="CZ70" t="str">
            <v>--</v>
          </cell>
          <cell r="DA70" t="str">
            <v>--</v>
          </cell>
          <cell r="DB70" t="str">
            <v>--</v>
          </cell>
          <cell r="DC70" t="str">
            <v>--</v>
          </cell>
          <cell r="DD70" t="str">
            <v>--</v>
          </cell>
          <cell r="DE70" t="str">
            <v>--</v>
          </cell>
          <cell r="DF70" t="str">
            <v>--</v>
          </cell>
          <cell r="DG70" t="str">
            <v>--</v>
          </cell>
          <cell r="DH70" t="str">
            <v>--</v>
          </cell>
          <cell r="DI70" t="str">
            <v>--</v>
          </cell>
          <cell r="DJ70" t="str">
            <v>--</v>
          </cell>
          <cell r="DK70" t="str">
            <v>--</v>
          </cell>
          <cell r="DL70" t="str">
            <v>--</v>
          </cell>
          <cell r="DM70" t="str">
            <v>--</v>
          </cell>
          <cell r="DN70" t="str">
            <v>--</v>
          </cell>
          <cell r="DO70" t="str">
            <v>--</v>
          </cell>
          <cell r="DP70" t="str">
            <v>--</v>
          </cell>
          <cell r="DQ70" t="str">
            <v>--</v>
          </cell>
          <cell r="DR70" t="str">
            <v>--</v>
          </cell>
          <cell r="DS70" t="str">
            <v>--</v>
          </cell>
          <cell r="DT70" t="str">
            <v>--</v>
          </cell>
          <cell r="DU70" t="str">
            <v>--</v>
          </cell>
          <cell r="DV70" t="str">
            <v>--</v>
          </cell>
          <cell r="DW70" t="str">
            <v>--</v>
          </cell>
          <cell r="DX70" t="str">
            <v>--</v>
          </cell>
          <cell r="DY70" t="str">
            <v>--</v>
          </cell>
          <cell r="DZ70" t="str">
            <v>--</v>
          </cell>
          <cell r="EA70" t="str">
            <v>--</v>
          </cell>
          <cell r="EB70" t="str">
            <v>--</v>
          </cell>
          <cell r="EC70" t="str">
            <v>--</v>
          </cell>
          <cell r="ED70" t="str">
            <v>--</v>
          </cell>
          <cell r="EE70" t="str">
            <v>--</v>
          </cell>
          <cell r="EF70" t="str">
            <v>--</v>
          </cell>
          <cell r="EG70" t="str">
            <v>--</v>
          </cell>
        </row>
        <row r="71">
          <cell r="A71" t="str">
            <v>00350268Amer. Ind. or Alaska Nat.</v>
          </cell>
          <cell r="B71" t="str">
            <v>00350268N</v>
          </cell>
          <cell r="C71" t="str">
            <v>0035</v>
          </cell>
          <cell r="D71" t="str">
            <v>00350268</v>
          </cell>
          <cell r="E71" t="str">
            <v>Boston</v>
          </cell>
          <cell r="F71" t="str">
            <v>Paul A Dever</v>
          </cell>
          <cell r="G71" t="str">
            <v>ES</v>
          </cell>
          <cell r="H71" t="str">
            <v>Boston - Paul A Dever (00350268)</v>
          </cell>
          <cell r="I71" t="str">
            <v>Amer. Ind. or Alaska Nat.</v>
          </cell>
          <cell r="J71" t="str">
            <v>00350268Amer. Ind. or Alaska Nat.</v>
          </cell>
          <cell r="K71" t="str">
            <v>Level 4</v>
          </cell>
          <cell r="L71" t="str">
            <v>--</v>
          </cell>
          <cell r="M71" t="str">
            <v>--</v>
          </cell>
          <cell r="N71" t="str">
            <v>--</v>
          </cell>
          <cell r="O71" t="str">
            <v>--</v>
          </cell>
          <cell r="P71" t="str">
            <v>--</v>
          </cell>
          <cell r="Q71" t="str">
            <v>--</v>
          </cell>
          <cell r="R71" t="str">
            <v>--</v>
          </cell>
          <cell r="S71" t="str">
            <v>--</v>
          </cell>
          <cell r="T71" t="str">
            <v>--</v>
          </cell>
          <cell r="U71" t="str">
            <v>--</v>
          </cell>
          <cell r="V71" t="str">
            <v>--</v>
          </cell>
          <cell r="W71" t="str">
            <v>--</v>
          </cell>
          <cell r="X71" t="str">
            <v>--</v>
          </cell>
          <cell r="Y71" t="str">
            <v>--</v>
          </cell>
          <cell r="Z71" t="str">
            <v>--</v>
          </cell>
          <cell r="AA71" t="str">
            <v>--</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t="str">
            <v>--</v>
          </cell>
          <cell r="BG71" t="str">
            <v>--</v>
          </cell>
          <cell r="BH71" t="str">
            <v>--</v>
          </cell>
          <cell r="BI71" t="str">
            <v>--</v>
          </cell>
          <cell r="BJ71" t="str">
            <v>--</v>
          </cell>
          <cell r="BK71" t="str">
            <v>--</v>
          </cell>
          <cell r="BL71" t="str">
            <v>--</v>
          </cell>
          <cell r="BM71" t="str">
            <v>--</v>
          </cell>
          <cell r="BN71" t="str">
            <v>--</v>
          </cell>
          <cell r="BO71" t="str">
            <v>--</v>
          </cell>
          <cell r="BP71" t="str">
            <v>--</v>
          </cell>
          <cell r="BQ71" t="str">
            <v>--</v>
          </cell>
          <cell r="BR71" t="str">
            <v>--</v>
          </cell>
          <cell r="BS71" t="str">
            <v>--</v>
          </cell>
          <cell r="BT71" t="str">
            <v>--</v>
          </cell>
          <cell r="BU71" t="str">
            <v>--</v>
          </cell>
          <cell r="BV71" t="str">
            <v>--</v>
          </cell>
          <cell r="BW71" t="str">
            <v>--</v>
          </cell>
          <cell r="BX71" t="str">
            <v>--</v>
          </cell>
          <cell r="BY71" t="str">
            <v>--</v>
          </cell>
          <cell r="BZ71" t="str">
            <v>--</v>
          </cell>
          <cell r="CA71" t="str">
            <v>--</v>
          </cell>
          <cell r="CB71" t="str">
            <v>--</v>
          </cell>
          <cell r="CC71" t="str">
            <v>--</v>
          </cell>
          <cell r="CD71" t="str">
            <v>--</v>
          </cell>
          <cell r="CE71" t="str">
            <v>--</v>
          </cell>
          <cell r="CF71" t="str">
            <v>--</v>
          </cell>
          <cell r="CG71" t="str">
            <v>--</v>
          </cell>
          <cell r="CH71" t="str">
            <v>--</v>
          </cell>
          <cell r="CI71" t="str">
            <v>--</v>
          </cell>
          <cell r="CJ71" t="str">
            <v>--</v>
          </cell>
          <cell r="CK71" t="str">
            <v>--</v>
          </cell>
          <cell r="CL71" t="str">
            <v>--</v>
          </cell>
          <cell r="CM71" t="str">
            <v>--</v>
          </cell>
          <cell r="CN71" t="str">
            <v>--</v>
          </cell>
          <cell r="CO71" t="str">
            <v>--</v>
          </cell>
          <cell r="CP71" t="str">
            <v>--</v>
          </cell>
          <cell r="CQ71" t="str">
            <v>--</v>
          </cell>
          <cell r="CR71" t="str">
            <v>--</v>
          </cell>
          <cell r="CS71" t="str">
            <v>--</v>
          </cell>
          <cell r="CT71" t="str">
            <v>--</v>
          </cell>
          <cell r="CU71" t="str">
            <v>--</v>
          </cell>
          <cell r="CV71" t="str">
            <v>--</v>
          </cell>
          <cell r="CW71" t="str">
            <v>--</v>
          </cell>
          <cell r="CX71" t="str">
            <v>--</v>
          </cell>
          <cell r="CY71" t="str">
            <v>--</v>
          </cell>
          <cell r="CZ71" t="str">
            <v>--</v>
          </cell>
          <cell r="DA71" t="str">
            <v>--</v>
          </cell>
          <cell r="DB71" t="str">
            <v>--</v>
          </cell>
          <cell r="DC71" t="str">
            <v>--</v>
          </cell>
          <cell r="DD71" t="str">
            <v>--</v>
          </cell>
          <cell r="DE71" t="str">
            <v>--</v>
          </cell>
          <cell r="DF71" t="str">
            <v>--</v>
          </cell>
          <cell r="DG71" t="str">
            <v>--</v>
          </cell>
          <cell r="DH71" t="str">
            <v>--</v>
          </cell>
          <cell r="DI71" t="str">
            <v>--</v>
          </cell>
          <cell r="DJ71" t="str">
            <v>--</v>
          </cell>
          <cell r="DK71" t="str">
            <v>--</v>
          </cell>
          <cell r="DL71" t="str">
            <v>--</v>
          </cell>
          <cell r="DM71" t="str">
            <v>--</v>
          </cell>
          <cell r="DN71" t="str">
            <v>--</v>
          </cell>
          <cell r="DO71" t="str">
            <v>--</v>
          </cell>
          <cell r="DP71" t="str">
            <v>--</v>
          </cell>
          <cell r="DQ71" t="str">
            <v>--</v>
          </cell>
          <cell r="DR71" t="str">
            <v>--</v>
          </cell>
          <cell r="DS71" t="str">
            <v>--</v>
          </cell>
          <cell r="DT71" t="str">
            <v>--</v>
          </cell>
          <cell r="DU71" t="str">
            <v>--</v>
          </cell>
          <cell r="DV71" t="str">
            <v>--</v>
          </cell>
          <cell r="DW71" t="str">
            <v>--</v>
          </cell>
          <cell r="DX71" t="str">
            <v>--</v>
          </cell>
          <cell r="DY71" t="str">
            <v>--</v>
          </cell>
          <cell r="DZ71" t="str">
            <v>--</v>
          </cell>
          <cell r="EA71" t="str">
            <v>--</v>
          </cell>
          <cell r="EB71" t="str">
            <v>--</v>
          </cell>
          <cell r="EC71" t="str">
            <v>--</v>
          </cell>
          <cell r="ED71" t="str">
            <v>--</v>
          </cell>
          <cell r="EE71" t="str">
            <v>--</v>
          </cell>
          <cell r="EF71" t="str">
            <v>--</v>
          </cell>
          <cell r="EG71" t="str">
            <v>--</v>
          </cell>
        </row>
        <row r="72">
          <cell r="A72" t="str">
            <v>00350268Nat. Haw. or Pacif. Isl.</v>
          </cell>
          <cell r="B72" t="str">
            <v>00350268P</v>
          </cell>
          <cell r="C72" t="str">
            <v>0035</v>
          </cell>
          <cell r="D72" t="str">
            <v>00350268</v>
          </cell>
          <cell r="E72" t="str">
            <v>Boston</v>
          </cell>
          <cell r="F72" t="str">
            <v>Paul A Dever</v>
          </cell>
          <cell r="G72" t="str">
            <v>ES</v>
          </cell>
          <cell r="H72" t="str">
            <v>Boston - Paul A Dever (00350268)</v>
          </cell>
          <cell r="I72" t="str">
            <v>Nat. Haw. or Pacif. Isl.</v>
          </cell>
          <cell r="J72" t="str">
            <v>00350268Nat. Haw. or Pacif. Isl.</v>
          </cell>
          <cell r="K72" t="str">
            <v>Level 4</v>
          </cell>
          <cell r="L72" t="str">
            <v>--</v>
          </cell>
          <cell r="M72" t="str">
            <v>--</v>
          </cell>
          <cell r="N72" t="str">
            <v>--</v>
          </cell>
          <cell r="O72" t="str">
            <v>--</v>
          </cell>
          <cell r="P72" t="str">
            <v>--</v>
          </cell>
          <cell r="Q72" t="str">
            <v>--</v>
          </cell>
          <cell r="R72" t="str">
            <v>--</v>
          </cell>
          <cell r="S72" t="str">
            <v>--</v>
          </cell>
          <cell r="T72" t="str">
            <v>--</v>
          </cell>
          <cell r="U72" t="str">
            <v>--</v>
          </cell>
          <cell r="V72" t="str">
            <v>--</v>
          </cell>
          <cell r="W72" t="str">
            <v>--</v>
          </cell>
          <cell r="X72" t="str">
            <v>--</v>
          </cell>
          <cell r="Y72" t="str">
            <v>--</v>
          </cell>
          <cell r="Z72" t="str">
            <v>--</v>
          </cell>
          <cell r="AA72" t="str">
            <v>--</v>
          </cell>
          <cell r="AB72" t="str">
            <v>--</v>
          </cell>
          <cell r="AC72" t="str">
            <v>--</v>
          </cell>
          <cell r="AD72" t="str">
            <v>--</v>
          </cell>
          <cell r="AE72" t="str">
            <v>--</v>
          </cell>
          <cell r="AF72" t="str">
            <v>--</v>
          </cell>
          <cell r="AG72" t="str">
            <v>--</v>
          </cell>
          <cell r="AH72" t="str">
            <v>--</v>
          </cell>
          <cell r="AI72" t="str">
            <v>--</v>
          </cell>
          <cell r="AJ72" t="str">
            <v>--</v>
          </cell>
          <cell r="AK72" t="str">
            <v>--</v>
          </cell>
          <cell r="AL72" t="str">
            <v>--</v>
          </cell>
          <cell r="AM72" t="str">
            <v>--</v>
          </cell>
          <cell r="AN72" t="str">
            <v>--</v>
          </cell>
          <cell r="AO72" t="str">
            <v>--</v>
          </cell>
          <cell r="AP72" t="str">
            <v>--</v>
          </cell>
          <cell r="AQ72" t="str">
            <v>--</v>
          </cell>
          <cell r="AR72" t="str">
            <v>--</v>
          </cell>
          <cell r="AS72" t="str">
            <v>--</v>
          </cell>
          <cell r="AT72" t="str">
            <v>--</v>
          </cell>
          <cell r="AU72" t="str">
            <v>--</v>
          </cell>
          <cell r="AV72" t="str">
            <v>--</v>
          </cell>
          <cell r="AW72" t="str">
            <v>--</v>
          </cell>
          <cell r="AX72" t="str">
            <v>--</v>
          </cell>
          <cell r="AY72" t="str">
            <v>--</v>
          </cell>
          <cell r="AZ72" t="str">
            <v>--</v>
          </cell>
          <cell r="BA72" t="str">
            <v>--</v>
          </cell>
          <cell r="BB72" t="str">
            <v>--</v>
          </cell>
          <cell r="BC72" t="str">
            <v>--</v>
          </cell>
          <cell r="BD72" t="str">
            <v>--</v>
          </cell>
          <cell r="BE72" t="str">
            <v>--</v>
          </cell>
          <cell r="BF72" t="str">
            <v>--</v>
          </cell>
          <cell r="BG72" t="str">
            <v>--</v>
          </cell>
          <cell r="BH72" t="str">
            <v>--</v>
          </cell>
          <cell r="BI72" t="str">
            <v>--</v>
          </cell>
          <cell r="BJ72" t="str">
            <v>--</v>
          </cell>
          <cell r="BK72" t="str">
            <v>--</v>
          </cell>
          <cell r="BL72" t="str">
            <v>--</v>
          </cell>
          <cell r="BM72" t="str">
            <v>--</v>
          </cell>
          <cell r="BN72" t="str">
            <v>--</v>
          </cell>
          <cell r="BO72" t="str">
            <v>--</v>
          </cell>
          <cell r="BP72" t="str">
            <v>--</v>
          </cell>
          <cell r="BQ72" t="str">
            <v>--</v>
          </cell>
          <cell r="BR72" t="str">
            <v>--</v>
          </cell>
          <cell r="BS72" t="str">
            <v>--</v>
          </cell>
          <cell r="BT72" t="str">
            <v>--</v>
          </cell>
          <cell r="BU72" t="str">
            <v>--</v>
          </cell>
          <cell r="BV72" t="str">
            <v>--</v>
          </cell>
          <cell r="BW72" t="str">
            <v>--</v>
          </cell>
          <cell r="BX72" t="str">
            <v>--</v>
          </cell>
          <cell r="BY72" t="str">
            <v>--</v>
          </cell>
          <cell r="BZ72" t="str">
            <v>--</v>
          </cell>
          <cell r="CA72" t="str">
            <v>--</v>
          </cell>
          <cell r="CB72" t="str">
            <v>--</v>
          </cell>
          <cell r="CC72" t="str">
            <v>--</v>
          </cell>
          <cell r="CD72" t="str">
            <v>--</v>
          </cell>
          <cell r="CE72" t="str">
            <v>--</v>
          </cell>
          <cell r="CF72" t="str">
            <v>--</v>
          </cell>
          <cell r="CG72" t="str">
            <v>--</v>
          </cell>
          <cell r="CH72" t="str">
            <v>--</v>
          </cell>
          <cell r="CI72" t="str">
            <v>--</v>
          </cell>
          <cell r="CJ72" t="str">
            <v>--</v>
          </cell>
          <cell r="CK72" t="str">
            <v>--</v>
          </cell>
          <cell r="CL72" t="str">
            <v>--</v>
          </cell>
          <cell r="CM72" t="str">
            <v>--</v>
          </cell>
          <cell r="CN72" t="str">
            <v>--</v>
          </cell>
          <cell r="CO72" t="str">
            <v>--</v>
          </cell>
          <cell r="CP72" t="str">
            <v>--</v>
          </cell>
          <cell r="CQ72" t="str">
            <v>--</v>
          </cell>
          <cell r="CR72" t="str">
            <v>--</v>
          </cell>
          <cell r="CS72" t="str">
            <v>--</v>
          </cell>
          <cell r="CT72" t="str">
            <v>--</v>
          </cell>
          <cell r="CU72" t="str">
            <v>--</v>
          </cell>
          <cell r="CV72" t="str">
            <v>--</v>
          </cell>
          <cell r="CW72" t="str">
            <v>--</v>
          </cell>
          <cell r="CX72" t="str">
            <v>--</v>
          </cell>
          <cell r="CY72" t="str">
            <v>--</v>
          </cell>
          <cell r="CZ72" t="str">
            <v>--</v>
          </cell>
          <cell r="DA72" t="str">
            <v>--</v>
          </cell>
          <cell r="DB72" t="str">
            <v>--</v>
          </cell>
          <cell r="DC72" t="str">
            <v>--</v>
          </cell>
          <cell r="DD72" t="str">
            <v>--</v>
          </cell>
          <cell r="DE72" t="str">
            <v>--</v>
          </cell>
          <cell r="DF72" t="str">
            <v>--</v>
          </cell>
          <cell r="DG72" t="str">
            <v>--</v>
          </cell>
          <cell r="DH72" t="str">
            <v>--</v>
          </cell>
          <cell r="DI72" t="str">
            <v>--</v>
          </cell>
          <cell r="DJ72" t="str">
            <v>--</v>
          </cell>
          <cell r="DK72" t="str">
            <v>--</v>
          </cell>
          <cell r="DL72" t="str">
            <v>--</v>
          </cell>
          <cell r="DM72" t="str">
            <v>--</v>
          </cell>
          <cell r="DN72" t="str">
            <v>--</v>
          </cell>
          <cell r="DO72" t="str">
            <v>--</v>
          </cell>
          <cell r="DP72" t="str">
            <v>--</v>
          </cell>
          <cell r="DQ72" t="str">
            <v>--</v>
          </cell>
          <cell r="DR72" t="str">
            <v>--</v>
          </cell>
          <cell r="DS72" t="str">
            <v>--</v>
          </cell>
          <cell r="DT72" t="str">
            <v>--</v>
          </cell>
          <cell r="DU72" t="str">
            <v>--</v>
          </cell>
          <cell r="DV72" t="str">
            <v>--</v>
          </cell>
          <cell r="DW72" t="str">
            <v>--</v>
          </cell>
          <cell r="DX72" t="str">
            <v>--</v>
          </cell>
          <cell r="DY72" t="str">
            <v>--</v>
          </cell>
          <cell r="DZ72" t="str">
            <v>--</v>
          </cell>
          <cell r="EA72" t="str">
            <v>--</v>
          </cell>
          <cell r="EB72" t="str">
            <v>--</v>
          </cell>
          <cell r="EC72" t="str">
            <v>--</v>
          </cell>
          <cell r="ED72" t="str">
            <v>--</v>
          </cell>
          <cell r="EE72" t="str">
            <v>--</v>
          </cell>
          <cell r="EF72" t="str">
            <v>--</v>
          </cell>
          <cell r="EG72" t="str">
            <v>--</v>
          </cell>
        </row>
        <row r="73">
          <cell r="A73" t="str">
            <v>00350268High needs</v>
          </cell>
          <cell r="B73" t="str">
            <v>00350268S</v>
          </cell>
          <cell r="C73" t="str">
            <v>0035</v>
          </cell>
          <cell r="D73" t="str">
            <v>00350268</v>
          </cell>
          <cell r="E73" t="str">
            <v>Boston</v>
          </cell>
          <cell r="F73" t="str">
            <v>Paul A Dever</v>
          </cell>
          <cell r="G73" t="str">
            <v>ES</v>
          </cell>
          <cell r="H73" t="str">
            <v>Boston - Paul A Dever (00350268)</v>
          </cell>
          <cell r="I73" t="str">
            <v>High needs</v>
          </cell>
          <cell r="J73" t="str">
            <v>00350268High needs</v>
          </cell>
          <cell r="K73" t="str">
            <v>Level 4</v>
          </cell>
          <cell r="L73">
            <v>54.1</v>
          </cell>
          <cell r="M73">
            <v>57.9</v>
          </cell>
          <cell r="N73">
            <v>54.5</v>
          </cell>
          <cell r="O73">
            <v>61.8</v>
          </cell>
          <cell r="P73">
            <v>51.7</v>
          </cell>
          <cell r="Q73">
            <v>65.599999999999994</v>
          </cell>
          <cell r="R73">
            <v>69.400000000000006</v>
          </cell>
          <cell r="S73">
            <v>73.2</v>
          </cell>
          <cell r="T73">
            <v>77.099999999999994</v>
          </cell>
          <cell r="U73">
            <v>65.3</v>
          </cell>
          <cell r="V73">
            <v>68.2</v>
          </cell>
          <cell r="W73">
            <v>58.3</v>
          </cell>
          <cell r="X73">
            <v>71.099999999999994</v>
          </cell>
          <cell r="Y73">
            <v>62.1</v>
          </cell>
          <cell r="Z73">
            <v>74</v>
          </cell>
          <cell r="AA73">
            <v>76.900000000000006</v>
          </cell>
          <cell r="AB73">
            <v>79.8</v>
          </cell>
          <cell r="AC73">
            <v>82.7</v>
          </cell>
          <cell r="AD73">
            <v>34.4</v>
          </cell>
          <cell r="AE73">
            <v>39.9</v>
          </cell>
          <cell r="AF73">
            <v>44.6</v>
          </cell>
          <cell r="AG73">
            <v>45.3</v>
          </cell>
          <cell r="AH73">
            <v>33.6</v>
          </cell>
          <cell r="AI73">
            <v>50.8</v>
          </cell>
          <cell r="AJ73">
            <v>56.3</v>
          </cell>
          <cell r="AK73">
            <v>61.7</v>
          </cell>
          <cell r="AL73">
            <v>67.2</v>
          </cell>
          <cell r="AM73" t="str">
            <v>--</v>
          </cell>
          <cell r="AN73" t="str">
            <v>--</v>
          </cell>
          <cell r="AO73" t="str">
            <v>--</v>
          </cell>
          <cell r="AP73" t="str">
            <v>--</v>
          </cell>
          <cell r="AQ73" t="str">
            <v>--</v>
          </cell>
          <cell r="AR73" t="str">
            <v>--</v>
          </cell>
          <cell r="AS73" t="str">
            <v>--</v>
          </cell>
          <cell r="AT73" t="str">
            <v>--</v>
          </cell>
          <cell r="AU73" t="str">
            <v>--</v>
          </cell>
          <cell r="AV73" t="str">
            <v>--</v>
          </cell>
          <cell r="AW73" t="str">
            <v>--</v>
          </cell>
          <cell r="AX73" t="str">
            <v>--</v>
          </cell>
          <cell r="AY73" t="str">
            <v>--</v>
          </cell>
          <cell r="AZ73" t="str">
            <v>--</v>
          </cell>
          <cell r="BA73" t="str">
            <v>--</v>
          </cell>
          <cell r="BB73" t="str">
            <v>--</v>
          </cell>
          <cell r="BC73" t="str">
            <v>--</v>
          </cell>
          <cell r="BD73" t="str">
            <v>--</v>
          </cell>
          <cell r="BE73" t="str">
            <v>--</v>
          </cell>
          <cell r="BF73" t="str">
            <v>--</v>
          </cell>
          <cell r="BG73" t="str">
            <v>--</v>
          </cell>
          <cell r="BH73" t="str">
            <v>--</v>
          </cell>
          <cell r="BI73" t="str">
            <v>--</v>
          </cell>
          <cell r="BJ73" t="str">
            <v>--</v>
          </cell>
          <cell r="BK73" t="str">
            <v>--</v>
          </cell>
          <cell r="BL73" t="str">
            <v>--</v>
          </cell>
          <cell r="BM73" t="str">
            <v>--</v>
          </cell>
          <cell r="BN73">
            <v>46</v>
          </cell>
          <cell r="BO73">
            <v>51</v>
          </cell>
          <cell r="BP73">
            <v>51</v>
          </cell>
          <cell r="BQ73">
            <v>51</v>
          </cell>
          <cell r="BR73">
            <v>26</v>
          </cell>
          <cell r="BS73">
            <v>36</v>
          </cell>
          <cell r="BT73">
            <v>46</v>
          </cell>
          <cell r="BU73">
            <v>51</v>
          </cell>
          <cell r="BV73">
            <v>51</v>
          </cell>
          <cell r="BW73">
            <v>68</v>
          </cell>
          <cell r="BX73">
            <v>51</v>
          </cell>
          <cell r="BY73">
            <v>36</v>
          </cell>
          <cell r="BZ73">
            <v>46</v>
          </cell>
          <cell r="CA73">
            <v>51</v>
          </cell>
          <cell r="CB73">
            <v>51</v>
          </cell>
          <cell r="CC73">
            <v>51</v>
          </cell>
          <cell r="CD73">
            <v>51</v>
          </cell>
          <cell r="CE73">
            <v>51</v>
          </cell>
          <cell r="CF73">
            <v>34</v>
          </cell>
          <cell r="CG73">
            <v>30.6</v>
          </cell>
          <cell r="CH73">
            <v>40.5</v>
          </cell>
          <cell r="CI73">
            <v>36.5</v>
          </cell>
          <cell r="CJ73">
            <v>36.799999999999997</v>
          </cell>
          <cell r="CK73">
            <v>33.1</v>
          </cell>
          <cell r="CL73">
            <v>29.8</v>
          </cell>
          <cell r="CM73">
            <v>26.8</v>
          </cell>
          <cell r="CN73">
            <v>24.1</v>
          </cell>
          <cell r="CO73">
            <v>23.3</v>
          </cell>
          <cell r="CP73">
            <v>21</v>
          </cell>
          <cell r="CQ73">
            <v>36.6</v>
          </cell>
          <cell r="CR73">
            <v>32.9</v>
          </cell>
          <cell r="CS73">
            <v>28.9</v>
          </cell>
          <cell r="CT73">
            <v>26</v>
          </cell>
          <cell r="CU73">
            <v>23.4</v>
          </cell>
          <cell r="CV73">
            <v>21.1</v>
          </cell>
          <cell r="CW73">
            <v>19</v>
          </cell>
          <cell r="CX73">
            <v>66.099999999999994</v>
          </cell>
          <cell r="CY73">
            <v>59.5</v>
          </cell>
          <cell r="CZ73">
            <v>56.9</v>
          </cell>
          <cell r="DA73">
            <v>51.2</v>
          </cell>
          <cell r="DB73">
            <v>68.7</v>
          </cell>
          <cell r="DC73">
            <v>61.8</v>
          </cell>
          <cell r="DD73">
            <v>55.6</v>
          </cell>
          <cell r="DE73">
            <v>50.1</v>
          </cell>
          <cell r="DF73">
            <v>45.1</v>
          </cell>
          <cell r="DG73">
            <v>0.5</v>
          </cell>
          <cell r="DH73">
            <v>0.6</v>
          </cell>
          <cell r="DI73">
            <v>0.5</v>
          </cell>
          <cell r="DJ73">
            <v>0.6</v>
          </cell>
          <cell r="DK73">
            <v>1.3</v>
          </cell>
          <cell r="DL73">
            <v>1.4</v>
          </cell>
          <cell r="DM73">
            <v>1.6</v>
          </cell>
          <cell r="DN73">
            <v>1.7</v>
          </cell>
          <cell r="DO73">
            <v>1.9</v>
          </cell>
          <cell r="DP73">
            <v>3.7</v>
          </cell>
          <cell r="DQ73">
            <v>4.0999999999999996</v>
          </cell>
          <cell r="DR73">
            <v>5.4</v>
          </cell>
          <cell r="DS73">
            <v>5.9</v>
          </cell>
          <cell r="DT73">
            <v>8.1</v>
          </cell>
          <cell r="DU73">
            <v>8.9</v>
          </cell>
          <cell r="DV73">
            <v>9.8000000000000007</v>
          </cell>
          <cell r="DW73">
            <v>10.8</v>
          </cell>
          <cell r="DX73">
            <v>11.9</v>
          </cell>
          <cell r="DY73">
            <v>0</v>
          </cell>
          <cell r="DZ73">
            <v>1</v>
          </cell>
          <cell r="EA73">
            <v>0</v>
          </cell>
          <cell r="EB73">
            <v>1</v>
          </cell>
          <cell r="EC73">
            <v>0</v>
          </cell>
          <cell r="ED73">
            <v>1</v>
          </cell>
          <cell r="EE73">
            <v>1.1000000000000001</v>
          </cell>
          <cell r="EF73">
            <v>1.2</v>
          </cell>
          <cell r="EG73">
            <v>1.3</v>
          </cell>
        </row>
        <row r="74">
          <cell r="A74" t="str">
            <v>00350268All students</v>
          </cell>
          <cell r="B74" t="str">
            <v>00350268T</v>
          </cell>
          <cell r="C74" t="str">
            <v>0035</v>
          </cell>
          <cell r="D74" t="str">
            <v>00350268</v>
          </cell>
          <cell r="E74" t="str">
            <v>Boston</v>
          </cell>
          <cell r="F74" t="str">
            <v>Paul A Dever</v>
          </cell>
          <cell r="G74" t="str">
            <v>ES</v>
          </cell>
          <cell r="H74" t="str">
            <v>Boston - Paul A Dever (00350268)</v>
          </cell>
          <cell r="I74" t="str">
            <v>All students</v>
          </cell>
          <cell r="J74" t="str">
            <v>00350268All students</v>
          </cell>
          <cell r="K74" t="str">
            <v>Level 4</v>
          </cell>
          <cell r="L74">
            <v>54.4</v>
          </cell>
          <cell r="M74">
            <v>58.2</v>
          </cell>
          <cell r="N74">
            <v>55</v>
          </cell>
          <cell r="O74">
            <v>62</v>
          </cell>
          <cell r="P74">
            <v>52.1</v>
          </cell>
          <cell r="Q74">
            <v>65.8</v>
          </cell>
          <cell r="R74">
            <v>69.599999999999994</v>
          </cell>
          <cell r="S74">
            <v>73.400000000000006</v>
          </cell>
          <cell r="T74">
            <v>77.2</v>
          </cell>
          <cell r="U74">
            <v>65.7</v>
          </cell>
          <cell r="V74">
            <v>68.599999999999994</v>
          </cell>
          <cell r="W74">
            <v>58.6</v>
          </cell>
          <cell r="X74">
            <v>71.400000000000006</v>
          </cell>
          <cell r="Y74">
            <v>62.1</v>
          </cell>
          <cell r="Z74">
            <v>74.3</v>
          </cell>
          <cell r="AA74">
            <v>77.099999999999994</v>
          </cell>
          <cell r="AB74">
            <v>80</v>
          </cell>
          <cell r="AC74">
            <v>82.9</v>
          </cell>
          <cell r="AD74">
            <v>35.200000000000003</v>
          </cell>
          <cell r="AE74">
            <v>40.6</v>
          </cell>
          <cell r="AF74">
            <v>44.6</v>
          </cell>
          <cell r="AG74">
            <v>46</v>
          </cell>
          <cell r="AH74">
            <v>33.700000000000003</v>
          </cell>
          <cell r="AI74">
            <v>51.4</v>
          </cell>
          <cell r="AJ74">
            <v>56.8</v>
          </cell>
          <cell r="AK74">
            <v>62.2</v>
          </cell>
          <cell r="AL74">
            <v>67.599999999999994</v>
          </cell>
          <cell r="AM74" t="str">
            <v>--</v>
          </cell>
          <cell r="AN74" t="str">
            <v>--</v>
          </cell>
          <cell r="AO74" t="str">
            <v>--</v>
          </cell>
          <cell r="AP74" t="str">
            <v>--</v>
          </cell>
          <cell r="AQ74" t="str">
            <v>--</v>
          </cell>
          <cell r="AR74" t="str">
            <v>--</v>
          </cell>
          <cell r="AS74" t="str">
            <v>--</v>
          </cell>
          <cell r="AT74" t="str">
            <v>--</v>
          </cell>
          <cell r="AU74" t="str">
            <v>--</v>
          </cell>
          <cell r="AV74" t="str">
            <v>--</v>
          </cell>
          <cell r="AW74" t="str">
            <v>--</v>
          </cell>
          <cell r="AX74" t="str">
            <v>--</v>
          </cell>
          <cell r="AY74" t="str">
            <v>--</v>
          </cell>
          <cell r="AZ74" t="str">
            <v>--</v>
          </cell>
          <cell r="BA74" t="str">
            <v>--</v>
          </cell>
          <cell r="BB74" t="str">
            <v>--</v>
          </cell>
          <cell r="BC74" t="str">
            <v>--</v>
          </cell>
          <cell r="BD74" t="str">
            <v>--</v>
          </cell>
          <cell r="BE74" t="str">
            <v>--</v>
          </cell>
          <cell r="BF74" t="str">
            <v>--</v>
          </cell>
          <cell r="BG74" t="str">
            <v>--</v>
          </cell>
          <cell r="BH74" t="str">
            <v>--</v>
          </cell>
          <cell r="BI74" t="str">
            <v>--</v>
          </cell>
          <cell r="BJ74" t="str">
            <v>--</v>
          </cell>
          <cell r="BK74" t="str">
            <v>--</v>
          </cell>
          <cell r="BL74" t="str">
            <v>--</v>
          </cell>
          <cell r="BM74" t="str">
            <v>--</v>
          </cell>
          <cell r="BN74">
            <v>48</v>
          </cell>
          <cell r="BO74">
            <v>51</v>
          </cell>
          <cell r="BP74">
            <v>51</v>
          </cell>
          <cell r="BQ74">
            <v>51</v>
          </cell>
          <cell r="BR74">
            <v>26</v>
          </cell>
          <cell r="BS74">
            <v>36</v>
          </cell>
          <cell r="BT74">
            <v>46</v>
          </cell>
          <cell r="BU74">
            <v>51</v>
          </cell>
          <cell r="BV74">
            <v>51</v>
          </cell>
          <cell r="BW74">
            <v>68</v>
          </cell>
          <cell r="BX74">
            <v>51</v>
          </cell>
          <cell r="BY74">
            <v>36</v>
          </cell>
          <cell r="BZ74">
            <v>46</v>
          </cell>
          <cell r="CA74">
            <v>49</v>
          </cell>
          <cell r="CB74">
            <v>51</v>
          </cell>
          <cell r="CC74">
            <v>51</v>
          </cell>
          <cell r="CD74">
            <v>51</v>
          </cell>
          <cell r="CE74">
            <v>51</v>
          </cell>
          <cell r="CF74">
            <v>33.700000000000003</v>
          </cell>
          <cell r="CG74">
            <v>30.3</v>
          </cell>
          <cell r="CH74">
            <v>40.1</v>
          </cell>
          <cell r="CI74">
            <v>36.1</v>
          </cell>
          <cell r="CJ74">
            <v>36</v>
          </cell>
          <cell r="CK74">
            <v>32.4</v>
          </cell>
          <cell r="CL74">
            <v>29.2</v>
          </cell>
          <cell r="CM74">
            <v>26.2</v>
          </cell>
          <cell r="CN74">
            <v>23.6</v>
          </cell>
          <cell r="CO74">
            <v>22.7</v>
          </cell>
          <cell r="CP74">
            <v>20.399999999999999</v>
          </cell>
          <cell r="CQ74">
            <v>36.200000000000003</v>
          </cell>
          <cell r="CR74">
            <v>32.6</v>
          </cell>
          <cell r="CS74">
            <v>28.8</v>
          </cell>
          <cell r="CT74">
            <v>25.9</v>
          </cell>
          <cell r="CU74">
            <v>23.3</v>
          </cell>
          <cell r="CV74">
            <v>21</v>
          </cell>
          <cell r="CW74">
            <v>18.899999999999999</v>
          </cell>
          <cell r="CX74">
            <v>64.400000000000006</v>
          </cell>
          <cell r="CY74">
            <v>58</v>
          </cell>
          <cell r="CZ74">
            <v>56.9</v>
          </cell>
          <cell r="DA74">
            <v>51.2</v>
          </cell>
          <cell r="DB74">
            <v>68.099999999999994</v>
          </cell>
          <cell r="DC74">
            <v>61.3</v>
          </cell>
          <cell r="DD74">
            <v>55.2</v>
          </cell>
          <cell r="DE74">
            <v>49.6</v>
          </cell>
          <cell r="DF74">
            <v>44.7</v>
          </cell>
          <cell r="DG74">
            <v>0.5</v>
          </cell>
          <cell r="DH74">
            <v>0.6</v>
          </cell>
          <cell r="DI74">
            <v>0.5</v>
          </cell>
          <cell r="DJ74">
            <v>0.6</v>
          </cell>
          <cell r="DK74">
            <v>1.3</v>
          </cell>
          <cell r="DL74">
            <v>1.4</v>
          </cell>
          <cell r="DM74">
            <v>1.6</v>
          </cell>
          <cell r="DN74">
            <v>1.7</v>
          </cell>
          <cell r="DO74">
            <v>1.9</v>
          </cell>
          <cell r="DP74">
            <v>3.6</v>
          </cell>
          <cell r="DQ74">
            <v>4</v>
          </cell>
          <cell r="DR74">
            <v>5.3</v>
          </cell>
          <cell r="DS74">
            <v>5.8</v>
          </cell>
          <cell r="DT74">
            <v>7.9</v>
          </cell>
          <cell r="DU74">
            <v>8.6999999999999993</v>
          </cell>
          <cell r="DV74">
            <v>9.6</v>
          </cell>
          <cell r="DW74">
            <v>10.5</v>
          </cell>
          <cell r="DX74">
            <v>11.6</v>
          </cell>
          <cell r="DY74">
            <v>0</v>
          </cell>
          <cell r="DZ74">
            <v>1</v>
          </cell>
          <cell r="EA74">
            <v>0</v>
          </cell>
          <cell r="EB74">
            <v>1</v>
          </cell>
          <cell r="EC74">
            <v>0</v>
          </cell>
          <cell r="ED74">
            <v>1</v>
          </cell>
          <cell r="EE74">
            <v>1.1000000000000001</v>
          </cell>
          <cell r="EF74">
            <v>1.2</v>
          </cell>
          <cell r="EG74">
            <v>1.3</v>
          </cell>
        </row>
        <row r="75">
          <cell r="A75" t="str">
            <v>00350360Asian</v>
          </cell>
          <cell r="B75" t="str">
            <v>00350360A</v>
          </cell>
          <cell r="C75" t="str">
            <v>0035</v>
          </cell>
          <cell r="D75" t="str">
            <v>00350360</v>
          </cell>
          <cell r="E75" t="str">
            <v>Boston</v>
          </cell>
          <cell r="F75" t="str">
            <v>William Ellery Channing</v>
          </cell>
          <cell r="G75" t="str">
            <v>ES</v>
          </cell>
          <cell r="H75" t="str">
            <v>Boston - William Ellery Channing (00350360)</v>
          </cell>
          <cell r="I75" t="str">
            <v>Asian</v>
          </cell>
          <cell r="J75" t="str">
            <v>00350360Asian</v>
          </cell>
          <cell r="K75" t="str">
            <v>--</v>
          </cell>
          <cell r="L75" t="str">
            <v>--</v>
          </cell>
          <cell r="M75" t="str">
            <v>--</v>
          </cell>
          <cell r="N75" t="str">
            <v>--</v>
          </cell>
          <cell r="O75" t="str">
            <v>--</v>
          </cell>
          <cell r="P75" t="str">
            <v>--</v>
          </cell>
          <cell r="Q75" t="str">
            <v>--</v>
          </cell>
          <cell r="R75" t="str">
            <v>--</v>
          </cell>
          <cell r="S75" t="str">
            <v>--</v>
          </cell>
          <cell r="T75" t="str">
            <v>--</v>
          </cell>
          <cell r="U75" t="str">
            <v>--</v>
          </cell>
          <cell r="V75" t="str">
            <v>--</v>
          </cell>
          <cell r="W75" t="str">
            <v>--</v>
          </cell>
          <cell r="X75" t="str">
            <v>--</v>
          </cell>
          <cell r="Y75" t="str">
            <v>--</v>
          </cell>
          <cell r="Z75" t="str">
            <v>--</v>
          </cell>
          <cell r="AA75" t="str">
            <v>--</v>
          </cell>
          <cell r="AB75" t="str">
            <v>--</v>
          </cell>
          <cell r="AC75" t="str">
            <v>--</v>
          </cell>
          <cell r="AD75" t="str">
            <v>--</v>
          </cell>
          <cell r="AE75" t="str">
            <v>--</v>
          </cell>
          <cell r="AF75" t="str">
            <v>--</v>
          </cell>
          <cell r="AG75" t="str">
            <v>--</v>
          </cell>
          <cell r="AH75" t="str">
            <v>--</v>
          </cell>
          <cell r="AI75" t="str">
            <v>--</v>
          </cell>
          <cell r="AJ75" t="str">
            <v>--</v>
          </cell>
          <cell r="AK75" t="str">
            <v>--</v>
          </cell>
          <cell r="AL75" t="str">
            <v>--</v>
          </cell>
          <cell r="AM75" t="str">
            <v>--</v>
          </cell>
          <cell r="AN75" t="str">
            <v>--</v>
          </cell>
          <cell r="AO75" t="str">
            <v>--</v>
          </cell>
          <cell r="AP75" t="str">
            <v>--</v>
          </cell>
          <cell r="AQ75" t="str">
            <v>--</v>
          </cell>
          <cell r="AR75" t="str">
            <v>--</v>
          </cell>
          <cell r="AS75" t="str">
            <v>--</v>
          </cell>
          <cell r="AT75" t="str">
            <v>--</v>
          </cell>
          <cell r="AU75" t="str">
            <v>--</v>
          </cell>
          <cell r="AV75" t="str">
            <v>--</v>
          </cell>
          <cell r="AW75" t="str">
            <v>--</v>
          </cell>
          <cell r="AX75" t="str">
            <v>--</v>
          </cell>
          <cell r="AY75" t="str">
            <v>--</v>
          </cell>
          <cell r="AZ75" t="str">
            <v>--</v>
          </cell>
          <cell r="BA75" t="str">
            <v>--</v>
          </cell>
          <cell r="BB75" t="str">
            <v>--</v>
          </cell>
          <cell r="BC75" t="str">
            <v>--</v>
          </cell>
          <cell r="BD75" t="str">
            <v>--</v>
          </cell>
          <cell r="BE75" t="str">
            <v>--</v>
          </cell>
          <cell r="BF75" t="str">
            <v>--</v>
          </cell>
          <cell r="BG75" t="str">
            <v>--</v>
          </cell>
          <cell r="BH75" t="str">
            <v>--</v>
          </cell>
          <cell r="BI75" t="str">
            <v>--</v>
          </cell>
          <cell r="BJ75" t="str">
            <v>--</v>
          </cell>
          <cell r="BK75" t="str">
            <v>--</v>
          </cell>
          <cell r="BL75" t="str">
            <v>--</v>
          </cell>
          <cell r="BM75" t="str">
            <v>--</v>
          </cell>
          <cell r="BN75" t="str">
            <v>--</v>
          </cell>
          <cell r="BO75" t="str">
            <v>--</v>
          </cell>
          <cell r="BP75" t="str">
            <v>--</v>
          </cell>
          <cell r="BQ75" t="str">
            <v>--</v>
          </cell>
          <cell r="BR75" t="str">
            <v>--</v>
          </cell>
          <cell r="BS75" t="str">
            <v>--</v>
          </cell>
          <cell r="BT75" t="str">
            <v>--</v>
          </cell>
          <cell r="BU75" t="str">
            <v>--</v>
          </cell>
          <cell r="BV75" t="str">
            <v>--</v>
          </cell>
          <cell r="BW75" t="str">
            <v>--</v>
          </cell>
          <cell r="BX75" t="str">
            <v>--</v>
          </cell>
          <cell r="BY75" t="str">
            <v>--</v>
          </cell>
          <cell r="BZ75" t="str">
            <v>--</v>
          </cell>
          <cell r="CA75" t="str">
            <v>--</v>
          </cell>
          <cell r="CB75" t="str">
            <v>--</v>
          </cell>
          <cell r="CC75" t="str">
            <v>--</v>
          </cell>
          <cell r="CD75" t="str">
            <v>--</v>
          </cell>
          <cell r="CE75" t="str">
            <v>--</v>
          </cell>
          <cell r="CF75" t="str">
            <v>--</v>
          </cell>
          <cell r="CG75" t="str">
            <v>--</v>
          </cell>
          <cell r="CH75" t="str">
            <v>--</v>
          </cell>
          <cell r="CI75" t="str">
            <v>--</v>
          </cell>
          <cell r="CJ75" t="str">
            <v>--</v>
          </cell>
          <cell r="CK75" t="str">
            <v>--</v>
          </cell>
          <cell r="CL75" t="str">
            <v>--</v>
          </cell>
          <cell r="CM75" t="str">
            <v>--</v>
          </cell>
          <cell r="CN75" t="str">
            <v>--</v>
          </cell>
          <cell r="CO75" t="str">
            <v>--</v>
          </cell>
          <cell r="CP75" t="str">
            <v>--</v>
          </cell>
          <cell r="CQ75" t="str">
            <v>--</v>
          </cell>
          <cell r="CR75" t="str">
            <v>--</v>
          </cell>
          <cell r="CS75" t="str">
            <v>--</v>
          </cell>
          <cell r="CT75" t="str">
            <v>--</v>
          </cell>
          <cell r="CU75" t="str">
            <v>--</v>
          </cell>
          <cell r="CV75" t="str">
            <v>--</v>
          </cell>
          <cell r="CW75" t="str">
            <v>--</v>
          </cell>
          <cell r="CX75" t="str">
            <v>--</v>
          </cell>
          <cell r="CY75" t="str">
            <v>--</v>
          </cell>
          <cell r="CZ75" t="str">
            <v>--</v>
          </cell>
          <cell r="DA75" t="str">
            <v>--</v>
          </cell>
          <cell r="DB75" t="str">
            <v>--</v>
          </cell>
          <cell r="DC75" t="str">
            <v>--</v>
          </cell>
          <cell r="DD75" t="str">
            <v>--</v>
          </cell>
          <cell r="DE75" t="str">
            <v>--</v>
          </cell>
          <cell r="DF75" t="str">
            <v>--</v>
          </cell>
          <cell r="DG75" t="str">
            <v>--</v>
          </cell>
          <cell r="DH75" t="str">
            <v>--</v>
          </cell>
          <cell r="DI75" t="str">
            <v>--</v>
          </cell>
          <cell r="DJ75" t="str">
            <v>--</v>
          </cell>
          <cell r="DK75" t="str">
            <v>--</v>
          </cell>
          <cell r="DL75" t="str">
            <v>--</v>
          </cell>
          <cell r="DM75" t="str">
            <v>--</v>
          </cell>
          <cell r="DN75" t="str">
            <v>--</v>
          </cell>
          <cell r="DO75" t="str">
            <v>--</v>
          </cell>
          <cell r="DP75" t="str">
            <v>--</v>
          </cell>
          <cell r="DQ75" t="str">
            <v>--</v>
          </cell>
          <cell r="DR75" t="str">
            <v>--</v>
          </cell>
          <cell r="DS75" t="str">
            <v>--</v>
          </cell>
          <cell r="DT75" t="str">
            <v>--</v>
          </cell>
          <cell r="DU75" t="str">
            <v>--</v>
          </cell>
          <cell r="DV75" t="str">
            <v>--</v>
          </cell>
          <cell r="DW75" t="str">
            <v>--</v>
          </cell>
          <cell r="DX75" t="str">
            <v>--</v>
          </cell>
          <cell r="DY75" t="str">
            <v>--</v>
          </cell>
          <cell r="DZ75" t="str">
            <v>--</v>
          </cell>
          <cell r="EA75" t="str">
            <v>--</v>
          </cell>
          <cell r="EB75" t="str">
            <v>--</v>
          </cell>
          <cell r="EC75" t="str">
            <v>--</v>
          </cell>
          <cell r="ED75" t="str">
            <v>--</v>
          </cell>
          <cell r="EE75" t="str">
            <v>--</v>
          </cell>
          <cell r="EF75" t="str">
            <v>--</v>
          </cell>
          <cell r="EG75" t="str">
            <v>--</v>
          </cell>
        </row>
        <row r="76">
          <cell r="A76" t="str">
            <v>00350360Afr. Amer/Black</v>
          </cell>
          <cell r="B76" t="str">
            <v>00350360B</v>
          </cell>
          <cell r="C76" t="str">
            <v>0035</v>
          </cell>
          <cell r="D76" t="str">
            <v>00350360</v>
          </cell>
          <cell r="E76" t="str">
            <v>Boston</v>
          </cell>
          <cell r="F76" t="str">
            <v>William Ellery Channing</v>
          </cell>
          <cell r="G76" t="str">
            <v>ES</v>
          </cell>
          <cell r="H76" t="str">
            <v>Boston - William Ellery Channing (00350360)</v>
          </cell>
          <cell r="I76" t="str">
            <v>Afr. Amer/Black</v>
          </cell>
          <cell r="J76" t="str">
            <v>00350360Afr. Amer/Black</v>
          </cell>
          <cell r="K76" t="str">
            <v>--</v>
          </cell>
          <cell r="L76">
            <v>69.900000000000006</v>
          </cell>
          <cell r="M76">
            <v>72.400000000000006</v>
          </cell>
          <cell r="N76">
            <v>57</v>
          </cell>
          <cell r="O76">
            <v>74.900000000000006</v>
          </cell>
          <cell r="P76">
            <v>57.3</v>
          </cell>
          <cell r="Q76">
            <v>77.400000000000006</v>
          </cell>
          <cell r="R76">
            <v>79.900000000000006</v>
          </cell>
          <cell r="S76">
            <v>82.4</v>
          </cell>
          <cell r="T76">
            <v>85</v>
          </cell>
          <cell r="U76">
            <v>70.400000000000006</v>
          </cell>
          <cell r="V76">
            <v>72.900000000000006</v>
          </cell>
          <cell r="W76">
            <v>47.4</v>
          </cell>
          <cell r="X76">
            <v>75.3</v>
          </cell>
          <cell r="Y76">
            <v>47.4</v>
          </cell>
          <cell r="Z76">
            <v>77.8</v>
          </cell>
          <cell r="AA76">
            <v>80.3</v>
          </cell>
          <cell r="AB76">
            <v>82.7</v>
          </cell>
          <cell r="AC76">
            <v>85.2</v>
          </cell>
          <cell r="AD76">
            <v>48.6</v>
          </cell>
          <cell r="AE76">
            <v>52.9</v>
          </cell>
          <cell r="AF76">
            <v>50.6</v>
          </cell>
          <cell r="AG76">
            <v>57.2</v>
          </cell>
          <cell r="AH76">
            <v>53.3</v>
          </cell>
          <cell r="AI76">
            <v>61.5</v>
          </cell>
          <cell r="AJ76">
            <v>65.7</v>
          </cell>
          <cell r="AK76">
            <v>70</v>
          </cell>
          <cell r="AL76">
            <v>74.3</v>
          </cell>
          <cell r="AM76" t="str">
            <v>--</v>
          </cell>
          <cell r="AN76" t="str">
            <v>--</v>
          </cell>
          <cell r="AO76" t="str">
            <v>--</v>
          </cell>
          <cell r="AP76" t="str">
            <v>--</v>
          </cell>
          <cell r="AQ76" t="str">
            <v>--</v>
          </cell>
          <cell r="AR76" t="str">
            <v>--</v>
          </cell>
          <cell r="AS76" t="str">
            <v>--</v>
          </cell>
          <cell r="AT76" t="str">
            <v>--</v>
          </cell>
          <cell r="AU76" t="str">
            <v>--</v>
          </cell>
          <cell r="AV76" t="str">
            <v>--</v>
          </cell>
          <cell r="AW76" t="str">
            <v>--</v>
          </cell>
          <cell r="AX76" t="str">
            <v>--</v>
          </cell>
          <cell r="AY76" t="str">
            <v>--</v>
          </cell>
          <cell r="AZ76" t="str">
            <v>--</v>
          </cell>
          <cell r="BA76" t="str">
            <v>--</v>
          </cell>
          <cell r="BB76" t="str">
            <v>--</v>
          </cell>
          <cell r="BC76" t="str">
            <v>--</v>
          </cell>
          <cell r="BD76" t="str">
            <v>--</v>
          </cell>
          <cell r="BE76" t="str">
            <v>--</v>
          </cell>
          <cell r="BF76" t="str">
            <v>--</v>
          </cell>
          <cell r="BG76" t="str">
            <v>--</v>
          </cell>
          <cell r="BH76" t="str">
            <v>--</v>
          </cell>
          <cell r="BI76" t="str">
            <v>--</v>
          </cell>
          <cell r="BJ76" t="str">
            <v>--</v>
          </cell>
          <cell r="BK76" t="str">
            <v>--</v>
          </cell>
          <cell r="BL76" t="str">
            <v>--</v>
          </cell>
          <cell r="BM76" t="str">
            <v>--</v>
          </cell>
          <cell r="BN76">
            <v>31</v>
          </cell>
          <cell r="BO76">
            <v>41</v>
          </cell>
          <cell r="BP76">
            <v>20.5</v>
          </cell>
          <cell r="BQ76">
            <v>30.5</v>
          </cell>
          <cell r="BR76">
            <v>31</v>
          </cell>
          <cell r="BS76">
            <v>41</v>
          </cell>
          <cell r="BT76">
            <v>51</v>
          </cell>
          <cell r="BU76">
            <v>51</v>
          </cell>
          <cell r="BV76">
            <v>51</v>
          </cell>
          <cell r="BW76">
            <v>34</v>
          </cell>
          <cell r="BX76">
            <v>44</v>
          </cell>
          <cell r="BY76">
            <v>15</v>
          </cell>
          <cell r="BZ76">
            <v>25</v>
          </cell>
          <cell r="CA76">
            <v>46.5</v>
          </cell>
          <cell r="CB76">
            <v>51</v>
          </cell>
          <cell r="CC76">
            <v>51</v>
          </cell>
          <cell r="CD76">
            <v>51</v>
          </cell>
          <cell r="CE76">
            <v>51</v>
          </cell>
          <cell r="CF76">
            <v>14.1</v>
          </cell>
          <cell r="CG76">
            <v>12.7</v>
          </cell>
          <cell r="CH76">
            <v>34.6</v>
          </cell>
          <cell r="CI76">
            <v>31.1</v>
          </cell>
          <cell r="CJ76">
            <v>30.2</v>
          </cell>
          <cell r="CK76">
            <v>27.2</v>
          </cell>
          <cell r="CL76">
            <v>24.5</v>
          </cell>
          <cell r="CM76">
            <v>22</v>
          </cell>
          <cell r="CN76">
            <v>19.8</v>
          </cell>
          <cell r="CO76">
            <v>19.600000000000001</v>
          </cell>
          <cell r="CP76">
            <v>17.600000000000001</v>
          </cell>
          <cell r="CQ76">
            <v>51.4</v>
          </cell>
          <cell r="CR76">
            <v>46.3</v>
          </cell>
          <cell r="CS76">
            <v>45.8</v>
          </cell>
          <cell r="CT76">
            <v>41.2</v>
          </cell>
          <cell r="CU76">
            <v>37.1</v>
          </cell>
          <cell r="CV76">
            <v>33.4</v>
          </cell>
          <cell r="CW76">
            <v>30</v>
          </cell>
          <cell r="CX76">
            <v>50</v>
          </cell>
          <cell r="CY76">
            <v>45</v>
          </cell>
          <cell r="CZ76">
            <v>48.8</v>
          </cell>
          <cell r="DA76">
            <v>43.9</v>
          </cell>
          <cell r="DB76">
            <v>30</v>
          </cell>
          <cell r="DC76">
            <v>27</v>
          </cell>
          <cell r="DD76">
            <v>24.3</v>
          </cell>
          <cell r="DE76">
            <v>21.9</v>
          </cell>
          <cell r="DF76">
            <v>19.7</v>
          </cell>
          <cell r="DG76">
            <v>4</v>
          </cell>
          <cell r="DH76">
            <v>4.4000000000000004</v>
          </cell>
          <cell r="DI76">
            <v>1.9</v>
          </cell>
          <cell r="DJ76">
            <v>2.1</v>
          </cell>
          <cell r="DK76">
            <v>2.1</v>
          </cell>
          <cell r="DL76">
            <v>2.2999999999999998</v>
          </cell>
          <cell r="DM76">
            <v>2.5</v>
          </cell>
          <cell r="DN76">
            <v>2.8</v>
          </cell>
          <cell r="DO76">
            <v>3.1</v>
          </cell>
          <cell r="DP76">
            <v>8.1999999999999993</v>
          </cell>
          <cell r="DQ76">
            <v>9</v>
          </cell>
          <cell r="DR76">
            <v>4.8</v>
          </cell>
          <cell r="DS76">
            <v>5.3</v>
          </cell>
          <cell r="DT76">
            <v>3.1</v>
          </cell>
          <cell r="DU76">
            <v>3.4</v>
          </cell>
          <cell r="DV76">
            <v>3.8</v>
          </cell>
          <cell r="DW76">
            <v>4.0999999999999996</v>
          </cell>
          <cell r="DX76">
            <v>4.5</v>
          </cell>
          <cell r="DY76">
            <v>0</v>
          </cell>
          <cell r="DZ76">
            <v>1</v>
          </cell>
          <cell r="EA76">
            <v>7.3</v>
          </cell>
          <cell r="EB76">
            <v>8</v>
          </cell>
          <cell r="EC76">
            <v>0</v>
          </cell>
          <cell r="ED76">
            <v>1</v>
          </cell>
          <cell r="EE76">
            <v>1.1000000000000001</v>
          </cell>
          <cell r="EF76">
            <v>1.2</v>
          </cell>
          <cell r="EG76">
            <v>1.3</v>
          </cell>
        </row>
        <row r="77">
          <cell r="A77" t="str">
            <v>00350360White</v>
          </cell>
          <cell r="B77" t="str">
            <v>00350360C</v>
          </cell>
          <cell r="C77" t="str">
            <v>0035</v>
          </cell>
          <cell r="D77" t="str">
            <v>00350360</v>
          </cell>
          <cell r="E77" t="str">
            <v>Boston</v>
          </cell>
          <cell r="F77" t="str">
            <v>William Ellery Channing</v>
          </cell>
          <cell r="G77" t="str">
            <v>ES</v>
          </cell>
          <cell r="H77" t="str">
            <v>Boston - William Ellery Channing (00350360)</v>
          </cell>
          <cell r="I77" t="str">
            <v>White</v>
          </cell>
          <cell r="J77" t="str">
            <v>00350360White</v>
          </cell>
          <cell r="K77" t="str">
            <v>--</v>
          </cell>
          <cell r="L77" t="str">
            <v>--</v>
          </cell>
          <cell r="M77" t="str">
            <v>--</v>
          </cell>
          <cell r="N77" t="str">
            <v>--</v>
          </cell>
          <cell r="O77" t="str">
            <v>--</v>
          </cell>
          <cell r="P77" t="str">
            <v>--</v>
          </cell>
          <cell r="Q77" t="str">
            <v>--</v>
          </cell>
          <cell r="R77" t="str">
            <v>--</v>
          </cell>
          <cell r="S77" t="str">
            <v>--</v>
          </cell>
          <cell r="T77" t="str">
            <v>--</v>
          </cell>
          <cell r="U77" t="str">
            <v>--</v>
          </cell>
          <cell r="V77" t="str">
            <v>--</v>
          </cell>
          <cell r="W77" t="str">
            <v>--</v>
          </cell>
          <cell r="X77" t="str">
            <v>--</v>
          </cell>
          <cell r="Y77" t="str">
            <v>--</v>
          </cell>
          <cell r="Z77" t="str">
            <v>--</v>
          </cell>
          <cell r="AA77" t="str">
            <v>--</v>
          </cell>
          <cell r="AB77" t="str">
            <v>--</v>
          </cell>
          <cell r="AC77" t="str">
            <v>--</v>
          </cell>
          <cell r="AD77" t="str">
            <v>--</v>
          </cell>
          <cell r="AE77" t="str">
            <v>--</v>
          </cell>
          <cell r="AF77" t="str">
            <v>--</v>
          </cell>
          <cell r="AG77" t="str">
            <v>--</v>
          </cell>
          <cell r="AH77" t="str">
            <v>--</v>
          </cell>
          <cell r="AI77" t="str">
            <v>--</v>
          </cell>
          <cell r="AJ77" t="str">
            <v>--</v>
          </cell>
          <cell r="AK77" t="str">
            <v>--</v>
          </cell>
          <cell r="AL77" t="str">
            <v>--</v>
          </cell>
          <cell r="AM77" t="str">
            <v>--</v>
          </cell>
          <cell r="AN77" t="str">
            <v>--</v>
          </cell>
          <cell r="AO77" t="str">
            <v>--</v>
          </cell>
          <cell r="AP77" t="str">
            <v>--</v>
          </cell>
          <cell r="AQ77" t="str">
            <v>--</v>
          </cell>
          <cell r="AR77" t="str">
            <v>--</v>
          </cell>
          <cell r="AS77" t="str">
            <v>--</v>
          </cell>
          <cell r="AT77" t="str">
            <v>--</v>
          </cell>
          <cell r="AU77" t="str">
            <v>--</v>
          </cell>
          <cell r="AV77" t="str">
            <v>--</v>
          </cell>
          <cell r="AW77" t="str">
            <v>--</v>
          </cell>
          <cell r="AX77" t="str">
            <v>--</v>
          </cell>
          <cell r="AY77" t="str">
            <v>--</v>
          </cell>
          <cell r="AZ77" t="str">
            <v>--</v>
          </cell>
          <cell r="BA77" t="str">
            <v>--</v>
          </cell>
          <cell r="BB77" t="str">
            <v>--</v>
          </cell>
          <cell r="BC77" t="str">
            <v>--</v>
          </cell>
          <cell r="BD77" t="str">
            <v>--</v>
          </cell>
          <cell r="BE77" t="str">
            <v>--</v>
          </cell>
          <cell r="BF77" t="str">
            <v>--</v>
          </cell>
          <cell r="BG77" t="str">
            <v>--</v>
          </cell>
          <cell r="BH77" t="str">
            <v>--</v>
          </cell>
          <cell r="BI77" t="str">
            <v>--</v>
          </cell>
          <cell r="BJ77" t="str">
            <v>--</v>
          </cell>
          <cell r="BK77" t="str">
            <v>--</v>
          </cell>
          <cell r="BL77" t="str">
            <v>--</v>
          </cell>
          <cell r="BM77" t="str">
            <v>--</v>
          </cell>
          <cell r="BN77" t="str">
            <v>--</v>
          </cell>
          <cell r="BO77" t="str">
            <v>--</v>
          </cell>
          <cell r="BP77" t="str">
            <v>--</v>
          </cell>
          <cell r="BQ77" t="str">
            <v>--</v>
          </cell>
          <cell r="BR77" t="str">
            <v>--</v>
          </cell>
          <cell r="BS77" t="str">
            <v>--</v>
          </cell>
          <cell r="BT77" t="str">
            <v>--</v>
          </cell>
          <cell r="BU77" t="str">
            <v>--</v>
          </cell>
          <cell r="BV77" t="str">
            <v>--</v>
          </cell>
          <cell r="BW77" t="str">
            <v>--</v>
          </cell>
          <cell r="BX77" t="str">
            <v>--</v>
          </cell>
          <cell r="BY77" t="str">
            <v>--</v>
          </cell>
          <cell r="BZ77" t="str">
            <v>--</v>
          </cell>
          <cell r="CA77" t="str">
            <v>--</v>
          </cell>
          <cell r="CB77" t="str">
            <v>--</v>
          </cell>
          <cell r="CC77" t="str">
            <v>--</v>
          </cell>
          <cell r="CD77" t="str">
            <v>--</v>
          </cell>
          <cell r="CE77" t="str">
            <v>--</v>
          </cell>
          <cell r="CF77" t="str">
            <v>--</v>
          </cell>
          <cell r="CG77" t="str">
            <v>--</v>
          </cell>
          <cell r="CH77" t="str">
            <v>--</v>
          </cell>
          <cell r="CI77" t="str">
            <v>--</v>
          </cell>
          <cell r="CJ77" t="str">
            <v>--</v>
          </cell>
          <cell r="CK77" t="str">
            <v>--</v>
          </cell>
          <cell r="CL77" t="str">
            <v>--</v>
          </cell>
          <cell r="CM77" t="str">
            <v>--</v>
          </cell>
          <cell r="CN77" t="str">
            <v>--</v>
          </cell>
          <cell r="CO77" t="str">
            <v>--</v>
          </cell>
          <cell r="CP77" t="str">
            <v>--</v>
          </cell>
          <cell r="CQ77" t="str">
            <v>--</v>
          </cell>
          <cell r="CR77" t="str">
            <v>--</v>
          </cell>
          <cell r="CS77" t="str">
            <v>--</v>
          </cell>
          <cell r="CT77" t="str">
            <v>--</v>
          </cell>
          <cell r="CU77" t="str">
            <v>--</v>
          </cell>
          <cell r="CV77" t="str">
            <v>--</v>
          </cell>
          <cell r="CW77" t="str">
            <v>--</v>
          </cell>
          <cell r="CX77" t="str">
            <v>--</v>
          </cell>
          <cell r="CY77" t="str">
            <v>--</v>
          </cell>
          <cell r="CZ77" t="str">
            <v>--</v>
          </cell>
          <cell r="DA77" t="str">
            <v>--</v>
          </cell>
          <cell r="DB77" t="str">
            <v>--</v>
          </cell>
          <cell r="DC77" t="str">
            <v>--</v>
          </cell>
          <cell r="DD77" t="str">
            <v>--</v>
          </cell>
          <cell r="DE77" t="str">
            <v>--</v>
          </cell>
          <cell r="DF77" t="str">
            <v>--</v>
          </cell>
          <cell r="DG77" t="str">
            <v>--</v>
          </cell>
          <cell r="DH77" t="str">
            <v>--</v>
          </cell>
          <cell r="DI77" t="str">
            <v>--</v>
          </cell>
          <cell r="DJ77" t="str">
            <v>--</v>
          </cell>
          <cell r="DK77" t="str">
            <v>--</v>
          </cell>
          <cell r="DL77" t="str">
            <v>--</v>
          </cell>
          <cell r="DM77" t="str">
            <v>--</v>
          </cell>
          <cell r="DN77" t="str">
            <v>--</v>
          </cell>
          <cell r="DO77" t="str">
            <v>--</v>
          </cell>
          <cell r="DP77" t="str">
            <v>--</v>
          </cell>
          <cell r="DQ77" t="str">
            <v>--</v>
          </cell>
          <cell r="DR77" t="str">
            <v>--</v>
          </cell>
          <cell r="DS77" t="str">
            <v>--</v>
          </cell>
          <cell r="DT77" t="str">
            <v>--</v>
          </cell>
          <cell r="DU77" t="str">
            <v>--</v>
          </cell>
          <cell r="DV77" t="str">
            <v>--</v>
          </cell>
          <cell r="DW77" t="str">
            <v>--</v>
          </cell>
          <cell r="DX77" t="str">
            <v>--</v>
          </cell>
          <cell r="DY77" t="str">
            <v>--</v>
          </cell>
          <cell r="DZ77" t="str">
            <v>--</v>
          </cell>
          <cell r="EA77" t="str">
            <v>--</v>
          </cell>
          <cell r="EB77" t="str">
            <v>--</v>
          </cell>
          <cell r="EC77" t="str">
            <v>--</v>
          </cell>
          <cell r="ED77" t="str">
            <v>--</v>
          </cell>
          <cell r="EE77" t="str">
            <v>--</v>
          </cell>
          <cell r="EF77" t="str">
            <v>--</v>
          </cell>
          <cell r="EG77" t="str">
            <v>--</v>
          </cell>
        </row>
        <row r="78">
          <cell r="A78" t="str">
            <v>00350360Students w/disabilities</v>
          </cell>
          <cell r="B78" t="str">
            <v>00350360D</v>
          </cell>
          <cell r="C78" t="str">
            <v>0035</v>
          </cell>
          <cell r="D78" t="str">
            <v>00350360</v>
          </cell>
          <cell r="E78" t="str">
            <v>Boston</v>
          </cell>
          <cell r="F78" t="str">
            <v>William Ellery Channing</v>
          </cell>
          <cell r="G78" t="str">
            <v>ES</v>
          </cell>
          <cell r="H78" t="str">
            <v>Boston - William Ellery Channing (00350360)</v>
          </cell>
          <cell r="I78" t="str">
            <v>Students w/disabilities</v>
          </cell>
          <cell r="J78" t="str">
            <v>00350360Students w/disabilities</v>
          </cell>
          <cell r="K78" t="str">
            <v>--</v>
          </cell>
          <cell r="L78">
            <v>30.6</v>
          </cell>
          <cell r="M78" t="str">
            <v>--</v>
          </cell>
          <cell r="N78">
            <v>30.6</v>
          </cell>
          <cell r="O78">
            <v>36.4</v>
          </cell>
          <cell r="P78">
            <v>27.7</v>
          </cell>
          <cell r="Q78">
            <v>42.2</v>
          </cell>
          <cell r="R78">
            <v>48</v>
          </cell>
          <cell r="S78">
            <v>53.7</v>
          </cell>
          <cell r="T78">
            <v>59.5</v>
          </cell>
          <cell r="U78">
            <v>26.9</v>
          </cell>
          <cell r="V78" t="str">
            <v>--</v>
          </cell>
          <cell r="W78">
            <v>26.9</v>
          </cell>
          <cell r="X78">
            <v>33</v>
          </cell>
          <cell r="Y78">
            <v>21.6</v>
          </cell>
          <cell r="Z78">
            <v>39.1</v>
          </cell>
          <cell r="AA78">
            <v>45.2</v>
          </cell>
          <cell r="AB78">
            <v>51.3</v>
          </cell>
          <cell r="AC78">
            <v>57.4</v>
          </cell>
          <cell r="AD78" t="str">
            <v>--</v>
          </cell>
          <cell r="AE78" t="str">
            <v>--</v>
          </cell>
          <cell r="AF78" t="str">
            <v>--</v>
          </cell>
          <cell r="AG78" t="str">
            <v>--</v>
          </cell>
          <cell r="AH78" t="str">
            <v>--</v>
          </cell>
          <cell r="AI78" t="str">
            <v>--</v>
          </cell>
          <cell r="AJ78" t="str">
            <v>--</v>
          </cell>
          <cell r="AK78" t="str">
            <v>--</v>
          </cell>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t="str">
            <v>--</v>
          </cell>
          <cell r="BJ78" t="str">
            <v>--</v>
          </cell>
          <cell r="BK78" t="str">
            <v>--</v>
          </cell>
          <cell r="BL78" t="str">
            <v>--</v>
          </cell>
          <cell r="BM78" t="str">
            <v>--</v>
          </cell>
          <cell r="BN78" t="str">
            <v>--</v>
          </cell>
          <cell r="BO78" t="str">
            <v>--</v>
          </cell>
          <cell r="BP78" t="str">
            <v>--</v>
          </cell>
          <cell r="BQ78" t="str">
            <v>--</v>
          </cell>
          <cell r="BR78" t="str">
            <v>--</v>
          </cell>
          <cell r="BS78" t="str">
            <v>--</v>
          </cell>
          <cell r="BT78" t="str">
            <v>--</v>
          </cell>
          <cell r="BU78" t="str">
            <v>--</v>
          </cell>
          <cell r="BV78" t="str">
            <v>--</v>
          </cell>
          <cell r="BW78" t="str">
            <v>--</v>
          </cell>
          <cell r="BX78" t="str">
            <v>--</v>
          </cell>
          <cell r="BY78" t="str">
            <v>--</v>
          </cell>
          <cell r="BZ78" t="str">
            <v>--</v>
          </cell>
          <cell r="CA78" t="str">
            <v>--</v>
          </cell>
          <cell r="CB78" t="str">
            <v>--</v>
          </cell>
          <cell r="CC78" t="str">
            <v>--</v>
          </cell>
          <cell r="CD78" t="str">
            <v>--</v>
          </cell>
          <cell r="CE78" t="str">
            <v>--</v>
          </cell>
          <cell r="CF78">
            <v>23.1</v>
          </cell>
          <cell r="CG78" t="str">
            <v>--</v>
          </cell>
          <cell r="CH78">
            <v>81.5</v>
          </cell>
          <cell r="CI78">
            <v>73.400000000000006</v>
          </cell>
          <cell r="CJ78">
            <v>85.7</v>
          </cell>
          <cell r="CK78">
            <v>77.099999999999994</v>
          </cell>
          <cell r="CL78">
            <v>69.400000000000006</v>
          </cell>
          <cell r="CM78">
            <v>62.5</v>
          </cell>
          <cell r="CN78">
            <v>56.2</v>
          </cell>
          <cell r="CO78">
            <v>23.1</v>
          </cell>
          <cell r="CP78" t="str">
            <v>--</v>
          </cell>
          <cell r="CQ78">
            <v>85.2</v>
          </cell>
          <cell r="CR78">
            <v>76.7</v>
          </cell>
          <cell r="CS78">
            <v>82.8</v>
          </cell>
          <cell r="CT78">
            <v>74.5</v>
          </cell>
          <cell r="CU78">
            <v>67.099999999999994</v>
          </cell>
          <cell r="CV78">
            <v>60.4</v>
          </cell>
          <cell r="CW78">
            <v>54.3</v>
          </cell>
          <cell r="CX78" t="str">
            <v>--</v>
          </cell>
          <cell r="CY78" t="str">
            <v>--</v>
          </cell>
          <cell r="CZ78" t="str">
            <v>--</v>
          </cell>
          <cell r="DA78" t="str">
            <v>--</v>
          </cell>
          <cell r="DB78" t="str">
            <v>--</v>
          </cell>
          <cell r="DC78" t="str">
            <v>--</v>
          </cell>
          <cell r="DD78" t="str">
            <v>--</v>
          </cell>
          <cell r="DE78" t="str">
            <v>--</v>
          </cell>
          <cell r="DF78" t="str">
            <v>--</v>
          </cell>
          <cell r="DG78">
            <v>0</v>
          </cell>
          <cell r="DH78" t="str">
            <v>--</v>
          </cell>
          <cell r="DI78">
            <v>0</v>
          </cell>
          <cell r="DJ78">
            <v>1</v>
          </cell>
          <cell r="DK78">
            <v>0</v>
          </cell>
          <cell r="DL78">
            <v>1</v>
          </cell>
          <cell r="DM78">
            <v>1.1000000000000001</v>
          </cell>
          <cell r="DN78">
            <v>1.2</v>
          </cell>
          <cell r="DO78">
            <v>1.3</v>
          </cell>
          <cell r="DP78">
            <v>7.7</v>
          </cell>
          <cell r="DQ78" t="str">
            <v>--</v>
          </cell>
          <cell r="DR78">
            <v>0</v>
          </cell>
          <cell r="DS78">
            <v>1</v>
          </cell>
          <cell r="DT78">
            <v>0</v>
          </cell>
          <cell r="DU78">
            <v>1</v>
          </cell>
          <cell r="DV78">
            <v>1.1000000000000001</v>
          </cell>
          <cell r="DW78">
            <v>1.2</v>
          </cell>
          <cell r="DX78">
            <v>1.3</v>
          </cell>
          <cell r="DY78" t="str">
            <v>--</v>
          </cell>
          <cell r="DZ78" t="str">
            <v>--</v>
          </cell>
          <cell r="EA78" t="str">
            <v>--</v>
          </cell>
          <cell r="EB78" t="str">
            <v>--</v>
          </cell>
          <cell r="EC78" t="str">
            <v>--</v>
          </cell>
          <cell r="ED78" t="str">
            <v>--</v>
          </cell>
          <cell r="EE78" t="str">
            <v>--</v>
          </cell>
          <cell r="EF78" t="str">
            <v>--</v>
          </cell>
          <cell r="EG78" t="str">
            <v>--</v>
          </cell>
        </row>
        <row r="79">
          <cell r="A79" t="str">
            <v>00350360Low income</v>
          </cell>
          <cell r="B79" t="str">
            <v>00350360F</v>
          </cell>
          <cell r="C79" t="str">
            <v>0035</v>
          </cell>
          <cell r="D79" t="str">
            <v>00350360</v>
          </cell>
          <cell r="E79" t="str">
            <v>Boston</v>
          </cell>
          <cell r="F79" t="str">
            <v>William Ellery Channing</v>
          </cell>
          <cell r="G79" t="str">
            <v>ES</v>
          </cell>
          <cell r="H79" t="str">
            <v>Boston - William Ellery Channing (00350360)</v>
          </cell>
          <cell r="I79" t="str">
            <v>Low income</v>
          </cell>
          <cell r="J79" t="str">
            <v>00350360Low income</v>
          </cell>
          <cell r="K79" t="str">
            <v>--</v>
          </cell>
          <cell r="L79">
            <v>68.599999999999994</v>
          </cell>
          <cell r="M79">
            <v>71.2</v>
          </cell>
          <cell r="N79">
            <v>52.8</v>
          </cell>
          <cell r="O79">
            <v>73.8</v>
          </cell>
          <cell r="P79">
            <v>50</v>
          </cell>
          <cell r="Q79">
            <v>76.5</v>
          </cell>
          <cell r="R79">
            <v>79.099999999999994</v>
          </cell>
          <cell r="S79">
            <v>81.7</v>
          </cell>
          <cell r="T79">
            <v>84.3</v>
          </cell>
          <cell r="U79">
            <v>68.400000000000006</v>
          </cell>
          <cell r="V79">
            <v>71</v>
          </cell>
          <cell r="W79">
            <v>45.5</v>
          </cell>
          <cell r="X79">
            <v>73.7</v>
          </cell>
          <cell r="Y79">
            <v>42.7</v>
          </cell>
          <cell r="Z79">
            <v>76.3</v>
          </cell>
          <cell r="AA79">
            <v>78.900000000000006</v>
          </cell>
          <cell r="AB79">
            <v>81.599999999999994</v>
          </cell>
          <cell r="AC79">
            <v>84.2</v>
          </cell>
          <cell r="AD79">
            <v>48</v>
          </cell>
          <cell r="AE79">
            <v>52.3</v>
          </cell>
          <cell r="AF79">
            <v>45.9</v>
          </cell>
          <cell r="AG79">
            <v>56.7</v>
          </cell>
          <cell r="AH79">
            <v>50.7</v>
          </cell>
          <cell r="AI79">
            <v>61</v>
          </cell>
          <cell r="AJ79">
            <v>65.3</v>
          </cell>
          <cell r="AK79">
            <v>69.7</v>
          </cell>
          <cell r="AL79">
            <v>74</v>
          </cell>
          <cell r="AM79" t="str">
            <v>--</v>
          </cell>
          <cell r="AN79" t="str">
            <v>--</v>
          </cell>
          <cell r="AO79" t="str">
            <v>--</v>
          </cell>
          <cell r="AP79" t="str">
            <v>--</v>
          </cell>
          <cell r="AQ79" t="str">
            <v>--</v>
          </cell>
          <cell r="AR79" t="str">
            <v>--</v>
          </cell>
          <cell r="AS79" t="str">
            <v>--</v>
          </cell>
          <cell r="AT79" t="str">
            <v>--</v>
          </cell>
          <cell r="AU79" t="str">
            <v>--</v>
          </cell>
          <cell r="AV79" t="str">
            <v>--</v>
          </cell>
          <cell r="AW79" t="str">
            <v>--</v>
          </cell>
          <cell r="AX79" t="str">
            <v>--</v>
          </cell>
          <cell r="AY79" t="str">
            <v>--</v>
          </cell>
          <cell r="AZ79" t="str">
            <v>--</v>
          </cell>
          <cell r="BA79" t="str">
            <v>--</v>
          </cell>
          <cell r="BB79" t="str">
            <v>--</v>
          </cell>
          <cell r="BC79" t="str">
            <v>--</v>
          </cell>
          <cell r="BD79" t="str">
            <v>--</v>
          </cell>
          <cell r="BE79" t="str">
            <v>--</v>
          </cell>
          <cell r="BF79" t="str">
            <v>--</v>
          </cell>
          <cell r="BG79" t="str">
            <v>--</v>
          </cell>
          <cell r="BH79" t="str">
            <v>--</v>
          </cell>
          <cell r="BI79" t="str">
            <v>--</v>
          </cell>
          <cell r="BJ79" t="str">
            <v>--</v>
          </cell>
          <cell r="BK79" t="str">
            <v>--</v>
          </cell>
          <cell r="BL79" t="str">
            <v>--</v>
          </cell>
          <cell r="BM79" t="str">
            <v>--</v>
          </cell>
          <cell r="BN79">
            <v>35.5</v>
          </cell>
          <cell r="BO79">
            <v>45.5</v>
          </cell>
          <cell r="BP79">
            <v>18</v>
          </cell>
          <cell r="BQ79">
            <v>28</v>
          </cell>
          <cell r="BR79">
            <v>29</v>
          </cell>
          <cell r="BS79">
            <v>39</v>
          </cell>
          <cell r="BT79">
            <v>49</v>
          </cell>
          <cell r="BU79">
            <v>51</v>
          </cell>
          <cell r="BV79">
            <v>51</v>
          </cell>
          <cell r="BW79">
            <v>34</v>
          </cell>
          <cell r="BX79">
            <v>44</v>
          </cell>
          <cell r="BY79">
            <v>18</v>
          </cell>
          <cell r="BZ79">
            <v>28</v>
          </cell>
          <cell r="CA79">
            <v>43.5</v>
          </cell>
          <cell r="CB79">
            <v>51</v>
          </cell>
          <cell r="CC79">
            <v>51</v>
          </cell>
          <cell r="CD79">
            <v>51</v>
          </cell>
          <cell r="CE79">
            <v>51</v>
          </cell>
          <cell r="CF79">
            <v>15.4</v>
          </cell>
          <cell r="CG79">
            <v>13.9</v>
          </cell>
          <cell r="CH79">
            <v>38.1</v>
          </cell>
          <cell r="CI79">
            <v>34.299999999999997</v>
          </cell>
          <cell r="CJ79">
            <v>39.299999999999997</v>
          </cell>
          <cell r="CK79">
            <v>35.4</v>
          </cell>
          <cell r="CL79">
            <v>31.8</v>
          </cell>
          <cell r="CM79">
            <v>28.6</v>
          </cell>
          <cell r="CN79">
            <v>25.8</v>
          </cell>
          <cell r="CO79">
            <v>19.3</v>
          </cell>
          <cell r="CP79">
            <v>17.399999999999999</v>
          </cell>
          <cell r="CQ79">
            <v>53.9</v>
          </cell>
          <cell r="CR79">
            <v>48.5</v>
          </cell>
          <cell r="CS79">
            <v>50.4</v>
          </cell>
          <cell r="CT79">
            <v>45.4</v>
          </cell>
          <cell r="CU79">
            <v>40.799999999999997</v>
          </cell>
          <cell r="CV79">
            <v>36.700000000000003</v>
          </cell>
          <cell r="CW79">
            <v>33.1</v>
          </cell>
          <cell r="CX79">
            <v>50</v>
          </cell>
          <cell r="CY79">
            <v>45</v>
          </cell>
          <cell r="CZ79">
            <v>55.8</v>
          </cell>
          <cell r="DA79">
            <v>50.2</v>
          </cell>
          <cell r="DB79">
            <v>35.299999999999997</v>
          </cell>
          <cell r="DC79">
            <v>31.8</v>
          </cell>
          <cell r="DD79">
            <v>28.6</v>
          </cell>
          <cell r="DE79">
            <v>25.7</v>
          </cell>
          <cell r="DF79">
            <v>23.2</v>
          </cell>
          <cell r="DG79">
            <v>3.4</v>
          </cell>
          <cell r="DH79">
            <v>3.7</v>
          </cell>
          <cell r="DI79">
            <v>0.8</v>
          </cell>
          <cell r="DJ79">
            <v>0.9</v>
          </cell>
          <cell r="DK79">
            <v>1.7</v>
          </cell>
          <cell r="DL79">
            <v>1.9</v>
          </cell>
          <cell r="DM79">
            <v>2.1</v>
          </cell>
          <cell r="DN79">
            <v>2.2999999999999998</v>
          </cell>
          <cell r="DO79">
            <v>2.5</v>
          </cell>
          <cell r="DP79">
            <v>10.5</v>
          </cell>
          <cell r="DQ79">
            <v>11.6</v>
          </cell>
          <cell r="DR79">
            <v>3.1</v>
          </cell>
          <cell r="DS79">
            <v>3.4</v>
          </cell>
          <cell r="DT79">
            <v>0</v>
          </cell>
          <cell r="DU79">
            <v>1</v>
          </cell>
          <cell r="DV79">
            <v>1.1000000000000001</v>
          </cell>
          <cell r="DW79">
            <v>1.2</v>
          </cell>
          <cell r="DX79">
            <v>1.3</v>
          </cell>
          <cell r="DY79">
            <v>0</v>
          </cell>
          <cell r="DZ79">
            <v>1</v>
          </cell>
          <cell r="EA79">
            <v>7</v>
          </cell>
          <cell r="EB79">
            <v>7.7</v>
          </cell>
          <cell r="EC79">
            <v>0</v>
          </cell>
          <cell r="ED79">
            <v>1</v>
          </cell>
          <cell r="EE79">
            <v>1.1000000000000001</v>
          </cell>
          <cell r="EF79">
            <v>1.2</v>
          </cell>
          <cell r="EG79">
            <v>1.3</v>
          </cell>
        </row>
        <row r="80">
          <cell r="A80" t="str">
            <v>00350360Hispanic/Latino</v>
          </cell>
          <cell r="B80" t="str">
            <v>00350360H</v>
          </cell>
          <cell r="C80" t="str">
            <v>0035</v>
          </cell>
          <cell r="D80" t="str">
            <v>00350360</v>
          </cell>
          <cell r="E80" t="str">
            <v>Boston</v>
          </cell>
          <cell r="F80" t="str">
            <v>William Ellery Channing</v>
          </cell>
          <cell r="G80" t="str">
            <v>ES</v>
          </cell>
          <cell r="H80" t="str">
            <v>Boston - William Ellery Channing (00350360)</v>
          </cell>
          <cell r="I80" t="str">
            <v>Hispanic/Latino</v>
          </cell>
          <cell r="J80" t="str">
            <v>00350360Hispanic/Latino</v>
          </cell>
          <cell r="K80" t="str">
            <v>--</v>
          </cell>
          <cell r="L80">
            <v>67.7</v>
          </cell>
          <cell r="M80">
            <v>70.400000000000006</v>
          </cell>
          <cell r="N80">
            <v>43.6</v>
          </cell>
          <cell r="O80">
            <v>73.099999999999994</v>
          </cell>
          <cell r="P80">
            <v>45.7</v>
          </cell>
          <cell r="Q80">
            <v>75.8</v>
          </cell>
          <cell r="R80">
            <v>78.5</v>
          </cell>
          <cell r="S80">
            <v>81.2</v>
          </cell>
          <cell r="T80">
            <v>83.9</v>
          </cell>
          <cell r="U80">
            <v>64.400000000000006</v>
          </cell>
          <cell r="V80">
            <v>67.400000000000006</v>
          </cell>
          <cell r="W80">
            <v>47.5</v>
          </cell>
          <cell r="X80">
            <v>70.3</v>
          </cell>
          <cell r="Y80">
            <v>42.7</v>
          </cell>
          <cell r="Z80">
            <v>73.3</v>
          </cell>
          <cell r="AA80">
            <v>76.3</v>
          </cell>
          <cell r="AB80">
            <v>79.2</v>
          </cell>
          <cell r="AC80">
            <v>82.2</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t="str">
            <v>--</v>
          </cell>
          <cell r="AQ80" t="str">
            <v>--</v>
          </cell>
          <cell r="AR80" t="str">
            <v>--</v>
          </cell>
          <cell r="AS80" t="str">
            <v>--</v>
          </cell>
          <cell r="AT80" t="str">
            <v>--</v>
          </cell>
          <cell r="AU80" t="str">
            <v>--</v>
          </cell>
          <cell r="AV80" t="str">
            <v>--</v>
          </cell>
          <cell r="AW80" t="str">
            <v>--</v>
          </cell>
          <cell r="AX80" t="str">
            <v>--</v>
          </cell>
          <cell r="AY80" t="str">
            <v>--</v>
          </cell>
          <cell r="AZ80" t="str">
            <v>--</v>
          </cell>
          <cell r="BA80" t="str">
            <v>--</v>
          </cell>
          <cell r="BB80" t="str">
            <v>--</v>
          </cell>
          <cell r="BC80" t="str">
            <v>--</v>
          </cell>
          <cell r="BD80" t="str">
            <v>--</v>
          </cell>
          <cell r="BE80" t="str">
            <v>--</v>
          </cell>
          <cell r="BF80" t="str">
            <v>--</v>
          </cell>
          <cell r="BG80" t="str">
            <v>--</v>
          </cell>
          <cell r="BH80" t="str">
            <v>--</v>
          </cell>
          <cell r="BI80" t="str">
            <v>--</v>
          </cell>
          <cell r="BJ80" t="str">
            <v>--</v>
          </cell>
          <cell r="BK80" t="str">
            <v>--</v>
          </cell>
          <cell r="BL80" t="str">
            <v>--</v>
          </cell>
          <cell r="BM80" t="str">
            <v>--</v>
          </cell>
          <cell r="BN80" t="str">
            <v>--</v>
          </cell>
          <cell r="BO80" t="str">
            <v>--</v>
          </cell>
          <cell r="BP80" t="str">
            <v>--</v>
          </cell>
          <cell r="BQ80" t="str">
            <v>--</v>
          </cell>
          <cell r="BR80" t="str">
            <v>--</v>
          </cell>
          <cell r="BS80" t="str">
            <v>--</v>
          </cell>
          <cell r="BT80" t="str">
            <v>--</v>
          </cell>
          <cell r="BU80" t="str">
            <v>--</v>
          </cell>
          <cell r="BV80" t="str">
            <v>--</v>
          </cell>
          <cell r="BW80" t="str">
            <v>--</v>
          </cell>
          <cell r="BX80" t="str">
            <v>--</v>
          </cell>
          <cell r="BY80" t="str">
            <v>--</v>
          </cell>
          <cell r="BZ80" t="str">
            <v>--</v>
          </cell>
          <cell r="CA80" t="str">
            <v>--</v>
          </cell>
          <cell r="CB80" t="str">
            <v>--</v>
          </cell>
          <cell r="CC80" t="str">
            <v>--</v>
          </cell>
          <cell r="CD80" t="str">
            <v>--</v>
          </cell>
          <cell r="CE80" t="str">
            <v>--</v>
          </cell>
          <cell r="CF80">
            <v>17.100000000000001</v>
          </cell>
          <cell r="CG80">
            <v>15.4</v>
          </cell>
          <cell r="CH80">
            <v>48.7</v>
          </cell>
          <cell r="CI80">
            <v>43.8</v>
          </cell>
          <cell r="CJ80">
            <v>48.8</v>
          </cell>
          <cell r="CK80">
            <v>43.9</v>
          </cell>
          <cell r="CL80">
            <v>39.5</v>
          </cell>
          <cell r="CM80">
            <v>35.6</v>
          </cell>
          <cell r="CN80">
            <v>32</v>
          </cell>
          <cell r="CO80">
            <v>20</v>
          </cell>
          <cell r="CP80">
            <v>18</v>
          </cell>
          <cell r="CQ80">
            <v>50</v>
          </cell>
          <cell r="CR80">
            <v>45</v>
          </cell>
          <cell r="CS80">
            <v>46.3</v>
          </cell>
          <cell r="CT80">
            <v>41.7</v>
          </cell>
          <cell r="CU80">
            <v>37.5</v>
          </cell>
          <cell r="CV80">
            <v>33.799999999999997</v>
          </cell>
          <cell r="CW80">
            <v>30.4</v>
          </cell>
          <cell r="CX80" t="str">
            <v>--</v>
          </cell>
          <cell r="CY80" t="str">
            <v>--</v>
          </cell>
          <cell r="CZ80" t="str">
            <v>--</v>
          </cell>
          <cell r="DA80" t="str">
            <v>--</v>
          </cell>
          <cell r="DB80" t="str">
            <v>--</v>
          </cell>
          <cell r="DC80" t="str">
            <v>--</v>
          </cell>
          <cell r="DD80" t="str">
            <v>--</v>
          </cell>
          <cell r="DE80" t="str">
            <v>--</v>
          </cell>
          <cell r="DF80" t="str">
            <v>--</v>
          </cell>
          <cell r="DG80">
            <v>7.3</v>
          </cell>
          <cell r="DH80">
            <v>8</v>
          </cell>
          <cell r="DI80">
            <v>0</v>
          </cell>
          <cell r="DJ80">
            <v>1</v>
          </cell>
          <cell r="DK80">
            <v>2.4</v>
          </cell>
          <cell r="DL80">
            <v>2.6</v>
          </cell>
          <cell r="DM80">
            <v>2.9</v>
          </cell>
          <cell r="DN80">
            <v>3.2</v>
          </cell>
          <cell r="DO80">
            <v>3.5</v>
          </cell>
          <cell r="DP80">
            <v>12.5</v>
          </cell>
          <cell r="DQ80">
            <v>13.8</v>
          </cell>
          <cell r="DR80">
            <v>2.5</v>
          </cell>
          <cell r="DS80">
            <v>2.8</v>
          </cell>
          <cell r="DT80">
            <v>0</v>
          </cell>
          <cell r="DU80">
            <v>1</v>
          </cell>
          <cell r="DV80">
            <v>1.1000000000000001</v>
          </cell>
          <cell r="DW80">
            <v>1.2</v>
          </cell>
          <cell r="DX80">
            <v>1.3</v>
          </cell>
          <cell r="DY80" t="str">
            <v>--</v>
          </cell>
          <cell r="DZ80" t="str">
            <v>--</v>
          </cell>
          <cell r="EA80" t="str">
            <v>--</v>
          </cell>
          <cell r="EB80" t="str">
            <v>--</v>
          </cell>
          <cell r="EC80" t="str">
            <v>--</v>
          </cell>
          <cell r="ED80" t="str">
            <v>--</v>
          </cell>
          <cell r="EE80" t="str">
            <v>--</v>
          </cell>
          <cell r="EF80" t="str">
            <v>--</v>
          </cell>
          <cell r="EG80" t="str">
            <v>--</v>
          </cell>
        </row>
        <row r="81">
          <cell r="A81" t="str">
            <v>00350360ELL and Former ELL</v>
          </cell>
          <cell r="B81" t="str">
            <v>00350360L</v>
          </cell>
          <cell r="C81" t="str">
            <v>0035</v>
          </cell>
          <cell r="D81" t="str">
            <v>00350360</v>
          </cell>
          <cell r="E81" t="str">
            <v>Boston</v>
          </cell>
          <cell r="F81" t="str">
            <v>William Ellery Channing</v>
          </cell>
          <cell r="G81" t="str">
            <v>ES</v>
          </cell>
          <cell r="H81" t="str">
            <v>Boston - William Ellery Channing (00350360)</v>
          </cell>
          <cell r="I81" t="str">
            <v>ELL and Former ELL</v>
          </cell>
          <cell r="J81" t="str">
            <v>00350360ELL and Former ELL</v>
          </cell>
          <cell r="K81" t="str">
            <v>--</v>
          </cell>
          <cell r="L81">
            <v>65.099999999999994</v>
          </cell>
          <cell r="M81">
            <v>68</v>
          </cell>
          <cell r="N81">
            <v>51.2</v>
          </cell>
          <cell r="O81">
            <v>70.900000000000006</v>
          </cell>
          <cell r="P81">
            <v>46.7</v>
          </cell>
          <cell r="Q81">
            <v>73.8</v>
          </cell>
          <cell r="R81">
            <v>76.7</v>
          </cell>
          <cell r="S81">
            <v>79.599999999999994</v>
          </cell>
          <cell r="T81">
            <v>82.6</v>
          </cell>
          <cell r="U81">
            <v>64.599999999999994</v>
          </cell>
          <cell r="V81">
            <v>67.599999999999994</v>
          </cell>
          <cell r="W81">
            <v>53</v>
          </cell>
          <cell r="X81">
            <v>70.5</v>
          </cell>
          <cell r="Y81">
            <v>43.6</v>
          </cell>
          <cell r="Z81">
            <v>73.5</v>
          </cell>
          <cell r="AA81">
            <v>76.400000000000006</v>
          </cell>
          <cell r="AB81">
            <v>79.400000000000006</v>
          </cell>
          <cell r="AC81">
            <v>82.3</v>
          </cell>
          <cell r="AD81">
            <v>48.8</v>
          </cell>
          <cell r="AE81">
            <v>53.1</v>
          </cell>
          <cell r="AF81">
            <v>44.2</v>
          </cell>
          <cell r="AG81">
            <v>57.3</v>
          </cell>
          <cell r="AH81">
            <v>47.2</v>
          </cell>
          <cell r="AI81">
            <v>61.6</v>
          </cell>
          <cell r="AJ81">
            <v>65.900000000000006</v>
          </cell>
          <cell r="AK81">
            <v>70.099999999999994</v>
          </cell>
          <cell r="AL81">
            <v>74.400000000000006</v>
          </cell>
          <cell r="AM81" t="str">
            <v>--</v>
          </cell>
          <cell r="AN81" t="str">
            <v>--</v>
          </cell>
          <cell r="AO81" t="str">
            <v>--</v>
          </cell>
          <cell r="AP81" t="str">
            <v>--</v>
          </cell>
          <cell r="AQ81" t="str">
            <v>--</v>
          </cell>
          <cell r="AR81" t="str">
            <v>--</v>
          </cell>
          <cell r="AS81" t="str">
            <v>--</v>
          </cell>
          <cell r="AT81" t="str">
            <v>--</v>
          </cell>
          <cell r="AU81" t="str">
            <v>--</v>
          </cell>
          <cell r="AV81" t="str">
            <v>--</v>
          </cell>
          <cell r="AW81" t="str">
            <v>--</v>
          </cell>
          <cell r="AX81" t="str">
            <v>--</v>
          </cell>
          <cell r="AY81" t="str">
            <v>--</v>
          </cell>
          <cell r="AZ81" t="str">
            <v>--</v>
          </cell>
          <cell r="BA81" t="str">
            <v>--</v>
          </cell>
          <cell r="BB81" t="str">
            <v>--</v>
          </cell>
          <cell r="BC81" t="str">
            <v>--</v>
          </cell>
          <cell r="BD81" t="str">
            <v>--</v>
          </cell>
          <cell r="BE81" t="str">
            <v>--</v>
          </cell>
          <cell r="BF81" t="str">
            <v>--</v>
          </cell>
          <cell r="BG81" t="str">
            <v>--</v>
          </cell>
          <cell r="BH81" t="str">
            <v>--</v>
          </cell>
          <cell r="BI81" t="str">
            <v>--</v>
          </cell>
          <cell r="BJ81" t="str">
            <v>--</v>
          </cell>
          <cell r="BK81" t="str">
            <v>--</v>
          </cell>
          <cell r="BL81" t="str">
            <v>--</v>
          </cell>
          <cell r="BM81" t="str">
            <v>--</v>
          </cell>
          <cell r="BN81">
            <v>28.5</v>
          </cell>
          <cell r="BO81">
            <v>38.5</v>
          </cell>
          <cell r="BP81">
            <v>19.5</v>
          </cell>
          <cell r="BQ81">
            <v>38.5</v>
          </cell>
          <cell r="BR81">
            <v>27</v>
          </cell>
          <cell r="BS81">
            <v>48.5</v>
          </cell>
          <cell r="BT81">
            <v>51</v>
          </cell>
          <cell r="BU81">
            <v>51</v>
          </cell>
          <cell r="BV81">
            <v>51</v>
          </cell>
          <cell r="BW81">
            <v>31.5</v>
          </cell>
          <cell r="BX81">
            <v>41.5</v>
          </cell>
          <cell r="BY81">
            <v>33.5</v>
          </cell>
          <cell r="BZ81">
            <v>41.5</v>
          </cell>
          <cell r="CA81">
            <v>41.5</v>
          </cell>
          <cell r="CB81">
            <v>51</v>
          </cell>
          <cell r="CC81">
            <v>51</v>
          </cell>
          <cell r="CD81">
            <v>51</v>
          </cell>
          <cell r="CE81">
            <v>51</v>
          </cell>
          <cell r="CF81">
            <v>20.8</v>
          </cell>
          <cell r="CG81">
            <v>18.7</v>
          </cell>
          <cell r="CH81">
            <v>39</v>
          </cell>
          <cell r="CI81">
            <v>35.1</v>
          </cell>
          <cell r="CJ81">
            <v>44.7</v>
          </cell>
          <cell r="CK81">
            <v>40.200000000000003</v>
          </cell>
          <cell r="CL81">
            <v>36.200000000000003</v>
          </cell>
          <cell r="CM81">
            <v>32.6</v>
          </cell>
          <cell r="CN81">
            <v>29.3</v>
          </cell>
          <cell r="CO81">
            <v>27.1</v>
          </cell>
          <cell r="CP81">
            <v>24.4</v>
          </cell>
          <cell r="CQ81">
            <v>42.9</v>
          </cell>
          <cell r="CR81">
            <v>38.6</v>
          </cell>
          <cell r="CS81">
            <v>51.3</v>
          </cell>
          <cell r="CT81">
            <v>46.2</v>
          </cell>
          <cell r="CU81">
            <v>41.6</v>
          </cell>
          <cell r="CV81">
            <v>37.4</v>
          </cell>
          <cell r="CW81">
            <v>33.700000000000003</v>
          </cell>
          <cell r="CX81">
            <v>52.4</v>
          </cell>
          <cell r="CY81">
            <v>47.2</v>
          </cell>
          <cell r="CZ81">
            <v>53.8</v>
          </cell>
          <cell r="DA81">
            <v>47.2</v>
          </cell>
          <cell r="DB81">
            <v>44.4</v>
          </cell>
          <cell r="DC81" t="str">
            <v>--</v>
          </cell>
          <cell r="DD81" t="str">
            <v>--</v>
          </cell>
          <cell r="DE81" t="str">
            <v>--</v>
          </cell>
          <cell r="DF81" t="str">
            <v>--</v>
          </cell>
          <cell r="DG81">
            <v>8.3000000000000007</v>
          </cell>
          <cell r="DH81">
            <v>9.1</v>
          </cell>
          <cell r="DI81">
            <v>0</v>
          </cell>
          <cell r="DJ81">
            <v>1</v>
          </cell>
          <cell r="DK81">
            <v>2.6</v>
          </cell>
          <cell r="DL81">
            <v>2.9</v>
          </cell>
          <cell r="DM81">
            <v>3.1</v>
          </cell>
          <cell r="DN81">
            <v>3.5</v>
          </cell>
          <cell r="DO81">
            <v>3.8</v>
          </cell>
          <cell r="DP81">
            <v>12.5</v>
          </cell>
          <cell r="DQ81">
            <v>13.8</v>
          </cell>
          <cell r="DR81">
            <v>4.8</v>
          </cell>
          <cell r="DS81">
            <v>5.3</v>
          </cell>
          <cell r="DT81">
            <v>0</v>
          </cell>
          <cell r="DU81">
            <v>1</v>
          </cell>
          <cell r="DV81">
            <v>1.1000000000000001</v>
          </cell>
          <cell r="DW81">
            <v>1.2</v>
          </cell>
          <cell r="DX81">
            <v>1.3</v>
          </cell>
          <cell r="DY81">
            <v>0</v>
          </cell>
          <cell r="DZ81">
            <v>1</v>
          </cell>
          <cell r="EA81">
            <v>7.7</v>
          </cell>
          <cell r="EB81">
            <v>1</v>
          </cell>
          <cell r="EC81">
            <v>0</v>
          </cell>
          <cell r="ED81" t="str">
            <v>--</v>
          </cell>
          <cell r="EE81" t="str">
            <v>--</v>
          </cell>
          <cell r="EF81" t="str">
            <v>--</v>
          </cell>
          <cell r="EG81" t="str">
            <v>--</v>
          </cell>
        </row>
        <row r="82">
          <cell r="A82" t="str">
            <v>00350360Multi-race, Non-Hisp./Lat.</v>
          </cell>
          <cell r="B82" t="str">
            <v>00350360M</v>
          </cell>
          <cell r="C82" t="str">
            <v>0035</v>
          </cell>
          <cell r="D82" t="str">
            <v>00350360</v>
          </cell>
          <cell r="E82" t="str">
            <v>Boston</v>
          </cell>
          <cell r="F82" t="str">
            <v>William Ellery Channing</v>
          </cell>
          <cell r="G82" t="str">
            <v>ES</v>
          </cell>
          <cell r="H82" t="str">
            <v>Boston - William Ellery Channing (00350360)</v>
          </cell>
          <cell r="I82" t="str">
            <v>Multi-race, Non-Hisp./Lat.</v>
          </cell>
          <cell r="J82" t="str">
            <v>00350360Multi-race, Non-Hisp./Lat.</v>
          </cell>
          <cell r="K82" t="str">
            <v>Level 3</v>
          </cell>
          <cell r="L82" t="str">
            <v>--</v>
          </cell>
          <cell r="M82" t="str">
            <v>--</v>
          </cell>
          <cell r="N82" t="str">
            <v>--</v>
          </cell>
          <cell r="O82" t="str">
            <v>--</v>
          </cell>
          <cell r="P82" t="str">
            <v>--</v>
          </cell>
          <cell r="Q82" t="str">
            <v>--</v>
          </cell>
          <cell r="R82" t="str">
            <v>--</v>
          </cell>
          <cell r="S82" t="str">
            <v>--</v>
          </cell>
          <cell r="T82" t="str">
            <v>--</v>
          </cell>
          <cell r="U82" t="str">
            <v>--</v>
          </cell>
          <cell r="V82" t="str">
            <v>--</v>
          </cell>
          <cell r="W82" t="str">
            <v>--</v>
          </cell>
          <cell r="X82" t="str">
            <v>--</v>
          </cell>
          <cell r="Y82" t="str">
            <v>--</v>
          </cell>
          <cell r="Z82" t="str">
            <v>--</v>
          </cell>
          <cell r="AA82" t="str">
            <v>--</v>
          </cell>
          <cell r="AB82" t="str">
            <v>--</v>
          </cell>
          <cell r="AC82" t="str">
            <v>--</v>
          </cell>
          <cell r="AD82" t="str">
            <v>--</v>
          </cell>
          <cell r="AE82" t="str">
            <v>--</v>
          </cell>
          <cell r="AF82" t="str">
            <v>--</v>
          </cell>
          <cell r="AG82" t="str">
            <v>--</v>
          </cell>
          <cell r="AH82" t="str">
            <v>--</v>
          </cell>
          <cell r="AI82" t="str">
            <v>--</v>
          </cell>
          <cell r="AJ82" t="str">
            <v>--</v>
          </cell>
          <cell r="AK82" t="str">
            <v>--</v>
          </cell>
          <cell r="AL82" t="str">
            <v>--</v>
          </cell>
          <cell r="AM82" t="str">
            <v>--</v>
          </cell>
          <cell r="AN82" t="str">
            <v>--</v>
          </cell>
          <cell r="AO82" t="str">
            <v>--</v>
          </cell>
          <cell r="AP82" t="str">
            <v>--</v>
          </cell>
          <cell r="AQ82" t="str">
            <v>--</v>
          </cell>
          <cell r="AR82" t="str">
            <v>--</v>
          </cell>
          <cell r="AS82" t="str">
            <v>--</v>
          </cell>
          <cell r="AT82" t="str">
            <v>--</v>
          </cell>
          <cell r="AU82" t="str">
            <v>--</v>
          </cell>
          <cell r="AV82" t="str">
            <v>--</v>
          </cell>
          <cell r="AW82" t="str">
            <v>--</v>
          </cell>
          <cell r="AX82" t="str">
            <v>--</v>
          </cell>
          <cell r="AY82" t="str">
            <v>--</v>
          </cell>
          <cell r="AZ82" t="str">
            <v>--</v>
          </cell>
          <cell r="BA82" t="str">
            <v>--</v>
          </cell>
          <cell r="BB82" t="str">
            <v>--</v>
          </cell>
          <cell r="BC82" t="str">
            <v>--</v>
          </cell>
          <cell r="BD82" t="str">
            <v>--</v>
          </cell>
          <cell r="BE82" t="str">
            <v>--</v>
          </cell>
          <cell r="BF82" t="str">
            <v>--</v>
          </cell>
          <cell r="BG82" t="str">
            <v>--</v>
          </cell>
          <cell r="BH82" t="str">
            <v>--</v>
          </cell>
          <cell r="BI82" t="str">
            <v>--</v>
          </cell>
          <cell r="BJ82" t="str">
            <v>--</v>
          </cell>
          <cell r="BK82" t="str">
            <v>--</v>
          </cell>
          <cell r="BL82" t="str">
            <v>--</v>
          </cell>
          <cell r="BM82" t="str">
            <v>--</v>
          </cell>
          <cell r="BN82" t="str">
            <v>--</v>
          </cell>
          <cell r="BO82" t="str">
            <v>--</v>
          </cell>
          <cell r="BP82" t="str">
            <v>--</v>
          </cell>
          <cell r="BQ82" t="str">
            <v>--</v>
          </cell>
          <cell r="BR82" t="str">
            <v>--</v>
          </cell>
          <cell r="BS82" t="str">
            <v>--</v>
          </cell>
          <cell r="BT82" t="str">
            <v>--</v>
          </cell>
          <cell r="BU82" t="str">
            <v>--</v>
          </cell>
          <cell r="BV82" t="str">
            <v>--</v>
          </cell>
          <cell r="BW82" t="str">
            <v>--</v>
          </cell>
          <cell r="BX82" t="str">
            <v>--</v>
          </cell>
          <cell r="BY82" t="str">
            <v>--</v>
          </cell>
          <cell r="BZ82" t="str">
            <v>--</v>
          </cell>
          <cell r="CA82" t="str">
            <v>--</v>
          </cell>
          <cell r="CB82" t="str">
            <v>--</v>
          </cell>
          <cell r="CC82" t="str">
            <v>--</v>
          </cell>
          <cell r="CD82" t="str">
            <v>--</v>
          </cell>
          <cell r="CE82" t="str">
            <v>--</v>
          </cell>
          <cell r="CF82" t="str">
            <v>--</v>
          </cell>
          <cell r="CG82" t="str">
            <v>--</v>
          </cell>
          <cell r="CH82" t="str">
            <v>--</v>
          </cell>
          <cell r="CI82" t="str">
            <v>--</v>
          </cell>
          <cell r="CJ82" t="str">
            <v>--</v>
          </cell>
          <cell r="CK82" t="str">
            <v>--</v>
          </cell>
          <cell r="CL82" t="str">
            <v>--</v>
          </cell>
          <cell r="CM82" t="str">
            <v>--</v>
          </cell>
          <cell r="CN82" t="str">
            <v>--</v>
          </cell>
          <cell r="CO82" t="str">
            <v>--</v>
          </cell>
          <cell r="CP82" t="str">
            <v>--</v>
          </cell>
          <cell r="CQ82" t="str">
            <v>--</v>
          </cell>
          <cell r="CR82" t="str">
            <v>--</v>
          </cell>
          <cell r="CS82" t="str">
            <v>--</v>
          </cell>
          <cell r="CT82" t="str">
            <v>--</v>
          </cell>
          <cell r="CU82" t="str">
            <v>--</v>
          </cell>
          <cell r="CV82" t="str">
            <v>--</v>
          </cell>
          <cell r="CW82" t="str">
            <v>--</v>
          </cell>
          <cell r="CX82" t="str">
            <v>--</v>
          </cell>
          <cell r="CY82" t="str">
            <v>--</v>
          </cell>
          <cell r="CZ82" t="str">
            <v>--</v>
          </cell>
          <cell r="DA82" t="str">
            <v>--</v>
          </cell>
          <cell r="DB82" t="str">
            <v>--</v>
          </cell>
          <cell r="DC82" t="str">
            <v>--</v>
          </cell>
          <cell r="DD82" t="str">
            <v>--</v>
          </cell>
          <cell r="DE82" t="str">
            <v>--</v>
          </cell>
          <cell r="DF82" t="str">
            <v>--</v>
          </cell>
          <cell r="DG82" t="str">
            <v>--</v>
          </cell>
          <cell r="DH82" t="str">
            <v>--</v>
          </cell>
          <cell r="DI82" t="str">
            <v>--</v>
          </cell>
          <cell r="DJ82" t="str">
            <v>--</v>
          </cell>
          <cell r="DK82" t="str">
            <v>--</v>
          </cell>
          <cell r="DL82" t="str">
            <v>--</v>
          </cell>
          <cell r="DM82" t="str">
            <v>--</v>
          </cell>
          <cell r="DN82" t="str">
            <v>--</v>
          </cell>
          <cell r="DO82" t="str">
            <v>--</v>
          </cell>
          <cell r="DP82" t="str">
            <v>--</v>
          </cell>
          <cell r="DQ82" t="str">
            <v>--</v>
          </cell>
          <cell r="DR82" t="str">
            <v>--</v>
          </cell>
          <cell r="DS82" t="str">
            <v>--</v>
          </cell>
          <cell r="DT82" t="str">
            <v>--</v>
          </cell>
          <cell r="DU82" t="str">
            <v>--</v>
          </cell>
          <cell r="DV82" t="str">
            <v>--</v>
          </cell>
          <cell r="DW82" t="str">
            <v>--</v>
          </cell>
          <cell r="DX82" t="str">
            <v>--</v>
          </cell>
          <cell r="DY82" t="str">
            <v>--</v>
          </cell>
          <cell r="DZ82" t="str">
            <v>--</v>
          </cell>
          <cell r="EA82" t="str">
            <v>--</v>
          </cell>
          <cell r="EB82" t="str">
            <v>--</v>
          </cell>
          <cell r="EC82" t="str">
            <v>--</v>
          </cell>
          <cell r="ED82" t="str">
            <v>--</v>
          </cell>
          <cell r="EE82" t="str">
            <v>--</v>
          </cell>
          <cell r="EF82" t="str">
            <v>--</v>
          </cell>
          <cell r="EG82" t="str">
            <v>--</v>
          </cell>
        </row>
        <row r="83">
          <cell r="A83" t="str">
            <v>00350360Amer. Ind. or Alaska Nat.</v>
          </cell>
          <cell r="B83" t="str">
            <v>00350360N</v>
          </cell>
          <cell r="C83" t="str">
            <v>0035</v>
          </cell>
          <cell r="D83" t="str">
            <v>00350360</v>
          </cell>
          <cell r="E83" t="str">
            <v>Boston</v>
          </cell>
          <cell r="F83" t="str">
            <v>William Ellery Channing</v>
          </cell>
          <cell r="G83" t="str">
            <v>ES</v>
          </cell>
          <cell r="H83" t="str">
            <v>Boston - William Ellery Channing (00350360)</v>
          </cell>
          <cell r="I83" t="str">
            <v>Amer. Ind. or Alaska Nat.</v>
          </cell>
          <cell r="J83" t="str">
            <v>00350360Amer. Ind. or Alaska Nat.</v>
          </cell>
          <cell r="K83" t="str">
            <v>--</v>
          </cell>
          <cell r="L83" t="str">
            <v>--</v>
          </cell>
          <cell r="M83" t="str">
            <v>--</v>
          </cell>
          <cell r="N83" t="str">
            <v>--</v>
          </cell>
          <cell r="O83" t="str">
            <v>--</v>
          </cell>
          <cell r="P83" t="str">
            <v>--</v>
          </cell>
          <cell r="Q83" t="str">
            <v>--</v>
          </cell>
          <cell r="R83" t="str">
            <v>--</v>
          </cell>
          <cell r="S83" t="str">
            <v>--</v>
          </cell>
          <cell r="T83" t="str">
            <v>--</v>
          </cell>
          <cell r="U83" t="str">
            <v>--</v>
          </cell>
          <cell r="V83" t="str">
            <v>--</v>
          </cell>
          <cell r="W83" t="str">
            <v>--</v>
          </cell>
          <cell r="X83" t="str">
            <v>--</v>
          </cell>
          <cell r="Y83" t="str">
            <v>--</v>
          </cell>
          <cell r="Z83" t="str">
            <v>--</v>
          </cell>
          <cell r="AA83" t="str">
            <v>--</v>
          </cell>
          <cell r="AB83" t="str">
            <v>--</v>
          </cell>
          <cell r="AC83" t="str">
            <v>--</v>
          </cell>
          <cell r="AD83" t="str">
            <v>--</v>
          </cell>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t="str">
            <v>--</v>
          </cell>
          <cell r="BF83" t="str">
            <v>--</v>
          </cell>
          <cell r="BG83" t="str">
            <v>--</v>
          </cell>
          <cell r="BH83" t="str">
            <v>--</v>
          </cell>
          <cell r="BI83" t="str">
            <v>--</v>
          </cell>
          <cell r="BJ83" t="str">
            <v>--</v>
          </cell>
          <cell r="BK83" t="str">
            <v>--</v>
          </cell>
          <cell r="BL83" t="str">
            <v>--</v>
          </cell>
          <cell r="BM83" t="str">
            <v>--</v>
          </cell>
          <cell r="BN83" t="str">
            <v>--</v>
          </cell>
          <cell r="BO83" t="str">
            <v>--</v>
          </cell>
          <cell r="BP83" t="str">
            <v>--</v>
          </cell>
          <cell r="BQ83" t="str">
            <v>--</v>
          </cell>
          <cell r="BR83" t="str">
            <v>--</v>
          </cell>
          <cell r="BS83" t="str">
            <v>--</v>
          </cell>
          <cell r="BT83" t="str">
            <v>--</v>
          </cell>
          <cell r="BU83" t="str">
            <v>--</v>
          </cell>
          <cell r="BV83" t="str">
            <v>--</v>
          </cell>
          <cell r="BW83" t="str">
            <v>--</v>
          </cell>
          <cell r="BX83" t="str">
            <v>--</v>
          </cell>
          <cell r="BY83" t="str">
            <v>--</v>
          </cell>
          <cell r="BZ83" t="str">
            <v>--</v>
          </cell>
          <cell r="CA83" t="str">
            <v>--</v>
          </cell>
          <cell r="CB83" t="str">
            <v>--</v>
          </cell>
          <cell r="CC83" t="str">
            <v>--</v>
          </cell>
          <cell r="CD83" t="str">
            <v>--</v>
          </cell>
          <cell r="CE83" t="str">
            <v>--</v>
          </cell>
          <cell r="CF83" t="str">
            <v>--</v>
          </cell>
          <cell r="CG83" t="str">
            <v>--</v>
          </cell>
          <cell r="CH83" t="str">
            <v>--</v>
          </cell>
          <cell r="CI83" t="str">
            <v>--</v>
          </cell>
          <cell r="CJ83" t="str">
            <v>--</v>
          </cell>
          <cell r="CK83" t="str">
            <v>--</v>
          </cell>
          <cell r="CL83" t="str">
            <v>--</v>
          </cell>
          <cell r="CM83" t="str">
            <v>--</v>
          </cell>
          <cell r="CN83" t="str">
            <v>--</v>
          </cell>
          <cell r="CO83" t="str">
            <v>--</v>
          </cell>
          <cell r="CP83" t="str">
            <v>--</v>
          </cell>
          <cell r="CQ83" t="str">
            <v>--</v>
          </cell>
          <cell r="CR83" t="str">
            <v>--</v>
          </cell>
          <cell r="CS83" t="str">
            <v>--</v>
          </cell>
          <cell r="CT83" t="str">
            <v>--</v>
          </cell>
          <cell r="CU83" t="str">
            <v>--</v>
          </cell>
          <cell r="CV83" t="str">
            <v>--</v>
          </cell>
          <cell r="CW83" t="str">
            <v>--</v>
          </cell>
          <cell r="CX83" t="str">
            <v>--</v>
          </cell>
          <cell r="CY83" t="str">
            <v>--</v>
          </cell>
          <cell r="CZ83" t="str">
            <v>--</v>
          </cell>
          <cell r="DA83" t="str">
            <v>--</v>
          </cell>
          <cell r="DB83" t="str">
            <v>--</v>
          </cell>
          <cell r="DC83" t="str">
            <v>--</v>
          </cell>
          <cell r="DD83" t="str">
            <v>--</v>
          </cell>
          <cell r="DE83" t="str">
            <v>--</v>
          </cell>
          <cell r="DF83" t="str">
            <v>--</v>
          </cell>
          <cell r="DG83" t="str">
            <v>--</v>
          </cell>
          <cell r="DH83" t="str">
            <v>--</v>
          </cell>
          <cell r="DI83" t="str">
            <v>--</v>
          </cell>
          <cell r="DJ83" t="str">
            <v>--</v>
          </cell>
          <cell r="DK83" t="str">
            <v>--</v>
          </cell>
          <cell r="DL83" t="str">
            <v>--</v>
          </cell>
          <cell r="DM83" t="str">
            <v>--</v>
          </cell>
          <cell r="DN83" t="str">
            <v>--</v>
          </cell>
          <cell r="DO83" t="str">
            <v>--</v>
          </cell>
          <cell r="DP83" t="str">
            <v>--</v>
          </cell>
          <cell r="DQ83" t="str">
            <v>--</v>
          </cell>
          <cell r="DR83" t="str">
            <v>--</v>
          </cell>
          <cell r="DS83" t="str">
            <v>--</v>
          </cell>
          <cell r="DT83" t="str">
            <v>--</v>
          </cell>
          <cell r="DU83" t="str">
            <v>--</v>
          </cell>
          <cell r="DV83" t="str">
            <v>--</v>
          </cell>
          <cell r="DW83" t="str">
            <v>--</v>
          </cell>
          <cell r="DX83" t="str">
            <v>--</v>
          </cell>
          <cell r="DY83" t="str">
            <v>--</v>
          </cell>
          <cell r="DZ83" t="str">
            <v>--</v>
          </cell>
          <cell r="EA83" t="str">
            <v>--</v>
          </cell>
          <cell r="EB83" t="str">
            <v>--</v>
          </cell>
          <cell r="EC83" t="str">
            <v>--</v>
          </cell>
          <cell r="ED83" t="str">
            <v>--</v>
          </cell>
          <cell r="EE83" t="str">
            <v>--</v>
          </cell>
          <cell r="EF83" t="str">
            <v>--</v>
          </cell>
          <cell r="EG83" t="str">
            <v>--</v>
          </cell>
        </row>
        <row r="84">
          <cell r="A84" t="str">
            <v>00350360Nat. Haw. or Pacif. Isl.</v>
          </cell>
          <cell r="B84" t="str">
            <v>00350360P</v>
          </cell>
          <cell r="C84" t="str">
            <v>0035</v>
          </cell>
          <cell r="D84" t="str">
            <v>00350360</v>
          </cell>
          <cell r="E84" t="str">
            <v>Boston</v>
          </cell>
          <cell r="F84" t="str">
            <v>William Ellery Channing</v>
          </cell>
          <cell r="G84" t="str">
            <v>ES</v>
          </cell>
          <cell r="H84" t="str">
            <v>Boston - William Ellery Channing (00350360)</v>
          </cell>
          <cell r="I84" t="str">
            <v>Nat. Haw. or Pacif. Isl.</v>
          </cell>
          <cell r="J84" t="str">
            <v>00350360Nat. Haw. or Pacif. Isl.</v>
          </cell>
          <cell r="K84" t="str">
            <v>Level 3</v>
          </cell>
          <cell r="L84" t="str">
            <v>--</v>
          </cell>
          <cell r="M84" t="str">
            <v>--</v>
          </cell>
          <cell r="N84" t="str">
            <v>--</v>
          </cell>
          <cell r="O84" t="str">
            <v>--</v>
          </cell>
          <cell r="P84" t="str">
            <v>--</v>
          </cell>
          <cell r="Q84" t="str">
            <v>--</v>
          </cell>
          <cell r="R84" t="str">
            <v>--</v>
          </cell>
          <cell r="S84" t="str">
            <v>--</v>
          </cell>
          <cell r="T84" t="str">
            <v>--</v>
          </cell>
          <cell r="U84" t="str">
            <v>--</v>
          </cell>
          <cell r="V84" t="str">
            <v>--</v>
          </cell>
          <cell r="W84" t="str">
            <v>--</v>
          </cell>
          <cell r="X84" t="str">
            <v>--</v>
          </cell>
          <cell r="Y84" t="str">
            <v>--</v>
          </cell>
          <cell r="Z84" t="str">
            <v>--</v>
          </cell>
          <cell r="AA84" t="str">
            <v>--</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t="str">
            <v>--</v>
          </cell>
          <cell r="AQ84" t="str">
            <v>--</v>
          </cell>
          <cell r="AR84" t="str">
            <v>--</v>
          </cell>
          <cell r="AS84" t="str">
            <v>--</v>
          </cell>
          <cell r="AT84" t="str">
            <v>--</v>
          </cell>
          <cell r="AU84" t="str">
            <v>--</v>
          </cell>
          <cell r="AV84" t="str">
            <v>--</v>
          </cell>
          <cell r="AW84" t="str">
            <v>--</v>
          </cell>
          <cell r="AX84" t="str">
            <v>--</v>
          </cell>
          <cell r="AY84" t="str">
            <v>--</v>
          </cell>
          <cell r="AZ84" t="str">
            <v>--</v>
          </cell>
          <cell r="BA84" t="str">
            <v>--</v>
          </cell>
          <cell r="BB84" t="str">
            <v>--</v>
          </cell>
          <cell r="BC84" t="str">
            <v>--</v>
          </cell>
          <cell r="BD84" t="str">
            <v>--</v>
          </cell>
          <cell r="BE84" t="str">
            <v>--</v>
          </cell>
          <cell r="BF84" t="str">
            <v>--</v>
          </cell>
          <cell r="BG84" t="str">
            <v>--</v>
          </cell>
          <cell r="BH84" t="str">
            <v>--</v>
          </cell>
          <cell r="BI84" t="str">
            <v>--</v>
          </cell>
          <cell r="BJ84" t="str">
            <v>--</v>
          </cell>
          <cell r="BK84" t="str">
            <v>--</v>
          </cell>
          <cell r="BL84" t="str">
            <v>--</v>
          </cell>
          <cell r="BM84" t="str">
            <v>--</v>
          </cell>
          <cell r="BN84" t="str">
            <v>--</v>
          </cell>
          <cell r="BO84" t="str">
            <v>--</v>
          </cell>
          <cell r="BP84" t="str">
            <v>--</v>
          </cell>
          <cell r="BQ84" t="str">
            <v>--</v>
          </cell>
          <cell r="BR84" t="str">
            <v>--</v>
          </cell>
          <cell r="BS84" t="str">
            <v>--</v>
          </cell>
          <cell r="BT84" t="str">
            <v>--</v>
          </cell>
          <cell r="BU84" t="str">
            <v>--</v>
          </cell>
          <cell r="BV84" t="str">
            <v>--</v>
          </cell>
          <cell r="BW84" t="str">
            <v>--</v>
          </cell>
          <cell r="BX84" t="str">
            <v>--</v>
          </cell>
          <cell r="BY84" t="str">
            <v>--</v>
          </cell>
          <cell r="BZ84" t="str">
            <v>--</v>
          </cell>
          <cell r="CA84" t="str">
            <v>--</v>
          </cell>
          <cell r="CB84" t="str">
            <v>--</v>
          </cell>
          <cell r="CC84" t="str">
            <v>--</v>
          </cell>
          <cell r="CD84" t="str">
            <v>--</v>
          </cell>
          <cell r="CE84" t="str">
            <v>--</v>
          </cell>
          <cell r="CF84" t="str">
            <v>--</v>
          </cell>
          <cell r="CG84" t="str">
            <v>--</v>
          </cell>
          <cell r="CH84" t="str">
            <v>--</v>
          </cell>
          <cell r="CI84" t="str">
            <v>--</v>
          </cell>
          <cell r="CJ84" t="str">
            <v>--</v>
          </cell>
          <cell r="CK84" t="str">
            <v>--</v>
          </cell>
          <cell r="CL84" t="str">
            <v>--</v>
          </cell>
          <cell r="CM84" t="str">
            <v>--</v>
          </cell>
          <cell r="CN84" t="str">
            <v>--</v>
          </cell>
          <cell r="CO84" t="str">
            <v>--</v>
          </cell>
          <cell r="CP84" t="str">
            <v>--</v>
          </cell>
          <cell r="CQ84" t="str">
            <v>--</v>
          </cell>
          <cell r="CR84" t="str">
            <v>--</v>
          </cell>
          <cell r="CS84" t="str">
            <v>--</v>
          </cell>
          <cell r="CT84" t="str">
            <v>--</v>
          </cell>
          <cell r="CU84" t="str">
            <v>--</v>
          </cell>
          <cell r="CV84" t="str">
            <v>--</v>
          </cell>
          <cell r="CW84" t="str">
            <v>--</v>
          </cell>
          <cell r="CX84" t="str">
            <v>--</v>
          </cell>
          <cell r="CY84" t="str">
            <v>--</v>
          </cell>
          <cell r="CZ84" t="str">
            <v>--</v>
          </cell>
          <cell r="DA84" t="str">
            <v>--</v>
          </cell>
          <cell r="DB84" t="str">
            <v>--</v>
          </cell>
          <cell r="DC84" t="str">
            <v>--</v>
          </cell>
          <cell r="DD84" t="str">
            <v>--</v>
          </cell>
          <cell r="DE84" t="str">
            <v>--</v>
          </cell>
          <cell r="DF84" t="str">
            <v>--</v>
          </cell>
          <cell r="DG84" t="str">
            <v>--</v>
          </cell>
          <cell r="DH84" t="str">
            <v>--</v>
          </cell>
          <cell r="DI84" t="str">
            <v>--</v>
          </cell>
          <cell r="DJ84" t="str">
            <v>--</v>
          </cell>
          <cell r="DK84" t="str">
            <v>--</v>
          </cell>
          <cell r="DL84" t="str">
            <v>--</v>
          </cell>
          <cell r="DM84" t="str">
            <v>--</v>
          </cell>
          <cell r="DN84" t="str">
            <v>--</v>
          </cell>
          <cell r="DO84" t="str">
            <v>--</v>
          </cell>
          <cell r="DP84" t="str">
            <v>--</v>
          </cell>
          <cell r="DQ84" t="str">
            <v>--</v>
          </cell>
          <cell r="DR84" t="str">
            <v>--</v>
          </cell>
          <cell r="DS84" t="str">
            <v>--</v>
          </cell>
          <cell r="DT84" t="str">
            <v>--</v>
          </cell>
          <cell r="DU84" t="str">
            <v>--</v>
          </cell>
          <cell r="DV84" t="str">
            <v>--</v>
          </cell>
          <cell r="DW84" t="str">
            <v>--</v>
          </cell>
          <cell r="DX84" t="str">
            <v>--</v>
          </cell>
          <cell r="DY84" t="str">
            <v>--</v>
          </cell>
          <cell r="DZ84" t="str">
            <v>--</v>
          </cell>
          <cell r="EA84" t="str">
            <v>--</v>
          </cell>
          <cell r="EB84" t="str">
            <v>--</v>
          </cell>
          <cell r="EC84" t="str">
            <v>--</v>
          </cell>
          <cell r="ED84" t="str">
            <v>--</v>
          </cell>
          <cell r="EE84" t="str">
            <v>--</v>
          </cell>
          <cell r="EF84" t="str">
            <v>--</v>
          </cell>
          <cell r="EG84" t="str">
            <v>--</v>
          </cell>
        </row>
        <row r="85">
          <cell r="A85" t="str">
            <v>00350360High needs</v>
          </cell>
          <cell r="B85" t="str">
            <v>00350360S</v>
          </cell>
          <cell r="C85" t="str">
            <v>0035</v>
          </cell>
          <cell r="D85" t="str">
            <v>00350360</v>
          </cell>
          <cell r="E85" t="str">
            <v>Boston</v>
          </cell>
          <cell r="F85" t="str">
            <v>William Ellery Channing</v>
          </cell>
          <cell r="G85" t="str">
            <v>ES</v>
          </cell>
          <cell r="H85" t="str">
            <v>Boston - William Ellery Channing (00350360)</v>
          </cell>
          <cell r="I85" t="str">
            <v>High needs</v>
          </cell>
          <cell r="J85" t="str">
            <v>00350360High needs</v>
          </cell>
          <cell r="K85" t="str">
            <v>Level 3</v>
          </cell>
          <cell r="L85">
            <v>69</v>
          </cell>
          <cell r="M85">
            <v>71.599999999999994</v>
          </cell>
          <cell r="N85">
            <v>52.3</v>
          </cell>
          <cell r="O85">
            <v>74.2</v>
          </cell>
          <cell r="P85">
            <v>50.2</v>
          </cell>
          <cell r="Q85">
            <v>76.8</v>
          </cell>
          <cell r="R85">
            <v>79.3</v>
          </cell>
          <cell r="S85">
            <v>81.900000000000006</v>
          </cell>
          <cell r="T85">
            <v>84.5</v>
          </cell>
          <cell r="U85">
            <v>68.400000000000006</v>
          </cell>
          <cell r="V85">
            <v>71</v>
          </cell>
          <cell r="W85">
            <v>45.3</v>
          </cell>
          <cell r="X85">
            <v>73.7</v>
          </cell>
          <cell r="Y85">
            <v>43.3</v>
          </cell>
          <cell r="Z85">
            <v>76.3</v>
          </cell>
          <cell r="AA85">
            <v>78.900000000000006</v>
          </cell>
          <cell r="AB85">
            <v>81.599999999999994</v>
          </cell>
          <cell r="AC85">
            <v>84.2</v>
          </cell>
          <cell r="AD85">
            <v>50</v>
          </cell>
          <cell r="AE85">
            <v>54.2</v>
          </cell>
          <cell r="AF85">
            <v>45.5</v>
          </cell>
          <cell r="AG85">
            <v>58.3</v>
          </cell>
          <cell r="AH85">
            <v>50.7</v>
          </cell>
          <cell r="AI85">
            <v>62.5</v>
          </cell>
          <cell r="AJ85">
            <v>66.7</v>
          </cell>
          <cell r="AK85">
            <v>70.8</v>
          </cell>
          <cell r="AL85">
            <v>75</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v>37</v>
          </cell>
          <cell r="BO85">
            <v>47</v>
          </cell>
          <cell r="BP85">
            <v>19</v>
          </cell>
          <cell r="BQ85">
            <v>29</v>
          </cell>
          <cell r="BR85">
            <v>29</v>
          </cell>
          <cell r="BS85">
            <v>39</v>
          </cell>
          <cell r="BT85">
            <v>49</v>
          </cell>
          <cell r="BU85">
            <v>51</v>
          </cell>
          <cell r="BV85">
            <v>51</v>
          </cell>
          <cell r="BW85">
            <v>35</v>
          </cell>
          <cell r="BX85">
            <v>45</v>
          </cell>
          <cell r="BY85">
            <v>19</v>
          </cell>
          <cell r="BZ85">
            <v>29</v>
          </cell>
          <cell r="CA85">
            <v>43.5</v>
          </cell>
          <cell r="CB85">
            <v>51</v>
          </cell>
          <cell r="CC85">
            <v>51</v>
          </cell>
          <cell r="CD85">
            <v>51</v>
          </cell>
          <cell r="CE85">
            <v>51</v>
          </cell>
          <cell r="CF85">
            <v>15.3</v>
          </cell>
          <cell r="CG85">
            <v>13.8</v>
          </cell>
          <cell r="CH85">
            <v>38.9</v>
          </cell>
          <cell r="CI85">
            <v>35</v>
          </cell>
          <cell r="CJ85">
            <v>38.700000000000003</v>
          </cell>
          <cell r="CK85">
            <v>34.799999999999997</v>
          </cell>
          <cell r="CL85">
            <v>31.3</v>
          </cell>
          <cell r="CM85">
            <v>28.2</v>
          </cell>
          <cell r="CN85">
            <v>25.4</v>
          </cell>
          <cell r="CO85">
            <v>19.8</v>
          </cell>
          <cell r="CP85">
            <v>17.8</v>
          </cell>
          <cell r="CQ85">
            <v>54.1</v>
          </cell>
          <cell r="CR85">
            <v>48.7</v>
          </cell>
          <cell r="CS85">
            <v>50</v>
          </cell>
          <cell r="CT85">
            <v>45</v>
          </cell>
          <cell r="CU85">
            <v>40.5</v>
          </cell>
          <cell r="CV85">
            <v>36.5</v>
          </cell>
          <cell r="CW85">
            <v>32.799999999999997</v>
          </cell>
          <cell r="CX85">
            <v>48.8</v>
          </cell>
          <cell r="CY85">
            <v>43.9</v>
          </cell>
          <cell r="CZ85">
            <v>56.8</v>
          </cell>
          <cell r="DA85">
            <v>51.1</v>
          </cell>
          <cell r="DB85">
            <v>34.200000000000003</v>
          </cell>
          <cell r="DC85">
            <v>30.8</v>
          </cell>
          <cell r="DD85">
            <v>27.7</v>
          </cell>
          <cell r="DE85">
            <v>24.9</v>
          </cell>
          <cell r="DF85">
            <v>22.4</v>
          </cell>
          <cell r="DG85">
            <v>4.8</v>
          </cell>
          <cell r="DH85">
            <v>5.3</v>
          </cell>
          <cell r="DI85">
            <v>0.8</v>
          </cell>
          <cell r="DJ85">
            <v>0.9</v>
          </cell>
          <cell r="DK85">
            <v>1.6</v>
          </cell>
          <cell r="DL85">
            <v>1.8</v>
          </cell>
          <cell r="DM85">
            <v>1.9</v>
          </cell>
          <cell r="DN85">
            <v>2.1</v>
          </cell>
          <cell r="DO85">
            <v>2.2999999999999998</v>
          </cell>
          <cell r="DP85">
            <v>10.7</v>
          </cell>
          <cell r="DQ85">
            <v>11.8</v>
          </cell>
          <cell r="DR85">
            <v>3</v>
          </cell>
          <cell r="DS85">
            <v>3.3</v>
          </cell>
          <cell r="DT85">
            <v>0</v>
          </cell>
          <cell r="DU85">
            <v>1</v>
          </cell>
          <cell r="DV85">
            <v>1.1000000000000001</v>
          </cell>
          <cell r="DW85">
            <v>1.2</v>
          </cell>
          <cell r="DX85">
            <v>1.3</v>
          </cell>
          <cell r="DY85">
            <v>0</v>
          </cell>
          <cell r="DZ85">
            <v>1</v>
          </cell>
          <cell r="EA85">
            <v>6.8</v>
          </cell>
          <cell r="EB85">
            <v>7.5</v>
          </cell>
          <cell r="EC85">
            <v>0</v>
          </cell>
          <cell r="ED85">
            <v>1</v>
          </cell>
          <cell r="EE85">
            <v>1.1000000000000001</v>
          </cell>
          <cell r="EF85">
            <v>1.2</v>
          </cell>
          <cell r="EG85">
            <v>1.3</v>
          </cell>
        </row>
        <row r="86">
          <cell r="A86" t="str">
            <v>00350360All students</v>
          </cell>
          <cell r="B86" t="str">
            <v>00350360T</v>
          </cell>
          <cell r="C86" t="str">
            <v>0035</v>
          </cell>
          <cell r="D86" t="str">
            <v>00350360</v>
          </cell>
          <cell r="E86" t="str">
            <v>Boston</v>
          </cell>
          <cell r="F86" t="str">
            <v>William Ellery Channing</v>
          </cell>
          <cell r="G86" t="str">
            <v>ES</v>
          </cell>
          <cell r="H86" t="str">
            <v>Boston - William Ellery Channing (00350360)</v>
          </cell>
          <cell r="I86" t="str">
            <v>All students</v>
          </cell>
          <cell r="J86" t="str">
            <v>00350360All students</v>
          </cell>
          <cell r="K86" t="str">
            <v>Level 3</v>
          </cell>
          <cell r="L86">
            <v>69.099999999999994</v>
          </cell>
          <cell r="M86">
            <v>71.7</v>
          </cell>
          <cell r="N86">
            <v>53.4</v>
          </cell>
          <cell r="O86">
            <v>74.3</v>
          </cell>
          <cell r="P86">
            <v>53.5</v>
          </cell>
          <cell r="Q86">
            <v>76.8</v>
          </cell>
          <cell r="R86">
            <v>79.400000000000006</v>
          </cell>
          <cell r="S86">
            <v>82</v>
          </cell>
          <cell r="T86">
            <v>84.6</v>
          </cell>
          <cell r="U86">
            <v>69.099999999999994</v>
          </cell>
          <cell r="V86">
            <v>71.7</v>
          </cell>
          <cell r="W86">
            <v>47.1</v>
          </cell>
          <cell r="X86">
            <v>74.3</v>
          </cell>
          <cell r="Y86">
            <v>45.9</v>
          </cell>
          <cell r="Z86">
            <v>76.8</v>
          </cell>
          <cell r="AA86">
            <v>79.400000000000006</v>
          </cell>
          <cell r="AB86">
            <v>82</v>
          </cell>
          <cell r="AC86">
            <v>84.6</v>
          </cell>
          <cell r="AD86">
            <v>49.5</v>
          </cell>
          <cell r="AE86">
            <v>53.7</v>
          </cell>
          <cell r="AF86">
            <v>48.6</v>
          </cell>
          <cell r="AG86">
            <v>57.9</v>
          </cell>
          <cell r="AH86">
            <v>52.9</v>
          </cell>
          <cell r="AI86">
            <v>62.1</v>
          </cell>
          <cell r="AJ86">
            <v>66.3</v>
          </cell>
          <cell r="AK86">
            <v>70.5</v>
          </cell>
          <cell r="AL86">
            <v>74.8</v>
          </cell>
          <cell r="AM86" t="str">
            <v>--</v>
          </cell>
          <cell r="AN86" t="str">
            <v>--</v>
          </cell>
          <cell r="AO86" t="str">
            <v>--</v>
          </cell>
          <cell r="AP86" t="str">
            <v>--</v>
          </cell>
          <cell r="AQ86" t="str">
            <v>--</v>
          </cell>
          <cell r="AR86" t="str">
            <v>--</v>
          </cell>
          <cell r="AS86" t="str">
            <v>--</v>
          </cell>
          <cell r="AT86" t="str">
            <v>--</v>
          </cell>
          <cell r="AU86" t="str">
            <v>--</v>
          </cell>
          <cell r="AV86" t="str">
            <v>--</v>
          </cell>
          <cell r="AW86" t="str">
            <v>--</v>
          </cell>
          <cell r="AX86" t="str">
            <v>--</v>
          </cell>
          <cell r="AY86" t="str">
            <v>--</v>
          </cell>
          <cell r="AZ86" t="str">
            <v>--</v>
          </cell>
          <cell r="BA86" t="str">
            <v>--</v>
          </cell>
          <cell r="BB86" t="str">
            <v>--</v>
          </cell>
          <cell r="BC86" t="str">
            <v>--</v>
          </cell>
          <cell r="BD86" t="str">
            <v>--</v>
          </cell>
          <cell r="BE86" t="str">
            <v>--</v>
          </cell>
          <cell r="BF86" t="str">
            <v>--</v>
          </cell>
          <cell r="BG86" t="str">
            <v>--</v>
          </cell>
          <cell r="BH86" t="str">
            <v>--</v>
          </cell>
          <cell r="BI86" t="str">
            <v>--</v>
          </cell>
          <cell r="BJ86" t="str">
            <v>--</v>
          </cell>
          <cell r="BK86" t="str">
            <v>--</v>
          </cell>
          <cell r="BL86" t="str">
            <v>--</v>
          </cell>
          <cell r="BM86" t="str">
            <v>--</v>
          </cell>
          <cell r="BN86">
            <v>35.5</v>
          </cell>
          <cell r="BO86">
            <v>45.5</v>
          </cell>
          <cell r="BP86">
            <v>19.5</v>
          </cell>
          <cell r="BQ86">
            <v>29.5</v>
          </cell>
          <cell r="BR86">
            <v>29</v>
          </cell>
          <cell r="BS86">
            <v>39</v>
          </cell>
          <cell r="BT86">
            <v>49</v>
          </cell>
          <cell r="BU86">
            <v>51</v>
          </cell>
          <cell r="BV86">
            <v>51</v>
          </cell>
          <cell r="BW86">
            <v>38.5</v>
          </cell>
          <cell r="BX86">
            <v>48.5</v>
          </cell>
          <cell r="BY86">
            <v>20</v>
          </cell>
          <cell r="BZ86">
            <v>30</v>
          </cell>
          <cell r="CA86">
            <v>46</v>
          </cell>
          <cell r="CB86">
            <v>51</v>
          </cell>
          <cell r="CC86">
            <v>51</v>
          </cell>
          <cell r="CD86">
            <v>51</v>
          </cell>
          <cell r="CE86">
            <v>51</v>
          </cell>
          <cell r="CF86">
            <v>15.3</v>
          </cell>
          <cell r="CG86">
            <v>13.8</v>
          </cell>
          <cell r="CH86">
            <v>38.1</v>
          </cell>
          <cell r="CI86">
            <v>34.299999999999997</v>
          </cell>
          <cell r="CJ86">
            <v>35.5</v>
          </cell>
          <cell r="CK86">
            <v>32</v>
          </cell>
          <cell r="CL86">
            <v>28.8</v>
          </cell>
          <cell r="CM86">
            <v>25.9</v>
          </cell>
          <cell r="CN86">
            <v>23.3</v>
          </cell>
          <cell r="CO86">
            <v>19.100000000000001</v>
          </cell>
          <cell r="CP86">
            <v>17.2</v>
          </cell>
          <cell r="CQ86">
            <v>51.7</v>
          </cell>
          <cell r="CR86">
            <v>46.5</v>
          </cell>
          <cell r="CS86">
            <v>46.1</v>
          </cell>
          <cell r="CT86">
            <v>41.5</v>
          </cell>
          <cell r="CU86">
            <v>37.299999999999997</v>
          </cell>
          <cell r="CV86">
            <v>33.6</v>
          </cell>
          <cell r="CW86">
            <v>30.2</v>
          </cell>
          <cell r="CX86">
            <v>51</v>
          </cell>
          <cell r="CY86">
            <v>45.9</v>
          </cell>
          <cell r="CZ86">
            <v>51.9</v>
          </cell>
          <cell r="DA86">
            <v>46.7</v>
          </cell>
          <cell r="DB86">
            <v>32.6</v>
          </cell>
          <cell r="DC86">
            <v>29.3</v>
          </cell>
          <cell r="DD86">
            <v>26.4</v>
          </cell>
          <cell r="DE86">
            <v>23.8</v>
          </cell>
          <cell r="DF86">
            <v>21.4</v>
          </cell>
          <cell r="DG86">
            <v>4.9000000000000004</v>
          </cell>
          <cell r="DH86">
            <v>5.4</v>
          </cell>
          <cell r="DI86">
            <v>1.4</v>
          </cell>
          <cell r="DJ86">
            <v>1.5</v>
          </cell>
          <cell r="DK86">
            <v>2.1</v>
          </cell>
          <cell r="DL86">
            <v>2.2999999999999998</v>
          </cell>
          <cell r="DM86">
            <v>2.5</v>
          </cell>
          <cell r="DN86">
            <v>2.8</v>
          </cell>
          <cell r="DO86">
            <v>3.1</v>
          </cell>
          <cell r="DP86">
            <v>9.9</v>
          </cell>
          <cell r="DQ86">
            <v>10.9</v>
          </cell>
          <cell r="DR86">
            <v>4</v>
          </cell>
          <cell r="DS86">
            <v>4.4000000000000004</v>
          </cell>
          <cell r="DT86">
            <v>2.1</v>
          </cell>
          <cell r="DU86">
            <v>2.2999999999999998</v>
          </cell>
          <cell r="DV86">
            <v>2.5</v>
          </cell>
          <cell r="DW86">
            <v>2.8</v>
          </cell>
          <cell r="DX86">
            <v>3.1</v>
          </cell>
          <cell r="DY86">
            <v>0</v>
          </cell>
          <cell r="DZ86">
            <v>1</v>
          </cell>
          <cell r="EA86">
            <v>7.7</v>
          </cell>
          <cell r="EB86">
            <v>8.5</v>
          </cell>
          <cell r="EC86">
            <v>0</v>
          </cell>
          <cell r="ED86">
            <v>1</v>
          </cell>
          <cell r="EE86">
            <v>1.1000000000000001</v>
          </cell>
          <cell r="EF86">
            <v>1.2</v>
          </cell>
          <cell r="EG86">
            <v>1.3</v>
          </cell>
        </row>
        <row r="87">
          <cell r="A87" t="str">
            <v>00350525Asian</v>
          </cell>
          <cell r="B87" t="str">
            <v>00350525A</v>
          </cell>
          <cell r="C87" t="str">
            <v>0035</v>
          </cell>
          <cell r="D87" t="str">
            <v>00350525</v>
          </cell>
          <cell r="E87" t="str">
            <v>Boston</v>
          </cell>
          <cell r="F87" t="str">
            <v>Jeremiah E Burke High</v>
          </cell>
          <cell r="G87" t="str">
            <v>HS</v>
          </cell>
          <cell r="H87" t="str">
            <v>Boston - Jeremiah E Burke High (00350525)</v>
          </cell>
          <cell r="I87" t="str">
            <v>Asian</v>
          </cell>
          <cell r="J87" t="str">
            <v>00350525Asian</v>
          </cell>
          <cell r="K87" t="str">
            <v>--</v>
          </cell>
          <cell r="L87" t="str">
            <v>--</v>
          </cell>
          <cell r="M87" t="str">
            <v>--</v>
          </cell>
          <cell r="N87" t="str">
            <v>--</v>
          </cell>
          <cell r="O87" t="str">
            <v>--</v>
          </cell>
          <cell r="P87" t="str">
            <v>--</v>
          </cell>
          <cell r="Q87" t="str">
            <v>--</v>
          </cell>
          <cell r="R87" t="str">
            <v>--</v>
          </cell>
          <cell r="S87" t="str">
            <v>--</v>
          </cell>
          <cell r="T87" t="str">
            <v>--</v>
          </cell>
          <cell r="U87" t="str">
            <v>--</v>
          </cell>
          <cell r="V87" t="str">
            <v>--</v>
          </cell>
          <cell r="W87" t="str">
            <v>--</v>
          </cell>
          <cell r="X87" t="str">
            <v>--</v>
          </cell>
          <cell r="Y87" t="str">
            <v>--</v>
          </cell>
          <cell r="Z87" t="str">
            <v>--</v>
          </cell>
          <cell r="AA87" t="str">
            <v>--</v>
          </cell>
          <cell r="AB87" t="str">
            <v>--</v>
          </cell>
          <cell r="AC87" t="str">
            <v>--</v>
          </cell>
          <cell r="AD87" t="str">
            <v>--</v>
          </cell>
          <cell r="AE87" t="str">
            <v>--</v>
          </cell>
          <cell r="AF87" t="str">
            <v>--</v>
          </cell>
          <cell r="AG87" t="str">
            <v>--</v>
          </cell>
          <cell r="AH87" t="str">
            <v>--</v>
          </cell>
          <cell r="AI87" t="str">
            <v>--</v>
          </cell>
          <cell r="AJ87" t="str">
            <v>--</v>
          </cell>
          <cell r="AK87" t="str">
            <v>--</v>
          </cell>
          <cell r="AL87" t="str">
            <v>--</v>
          </cell>
          <cell r="AM87" t="str">
            <v>--</v>
          </cell>
          <cell r="AN87" t="str">
            <v>--</v>
          </cell>
          <cell r="AO87" t="str">
            <v>--</v>
          </cell>
          <cell r="AP87" t="str">
            <v>--</v>
          </cell>
          <cell r="AQ87" t="str">
            <v>--</v>
          </cell>
          <cell r="AR87" t="str">
            <v>--</v>
          </cell>
          <cell r="AS87" t="str">
            <v>--</v>
          </cell>
          <cell r="AT87" t="str">
            <v>--</v>
          </cell>
          <cell r="AU87" t="str">
            <v>--</v>
          </cell>
          <cell r="AV87" t="str">
            <v>--</v>
          </cell>
          <cell r="AW87" t="str">
            <v>--</v>
          </cell>
          <cell r="AX87" t="str">
            <v>--</v>
          </cell>
          <cell r="AY87" t="str">
            <v>--</v>
          </cell>
          <cell r="AZ87" t="str">
            <v>--</v>
          </cell>
          <cell r="BA87" t="str">
            <v>--</v>
          </cell>
          <cell r="BB87" t="str">
            <v>--</v>
          </cell>
          <cell r="BC87" t="str">
            <v>--</v>
          </cell>
          <cell r="BD87" t="str">
            <v>--</v>
          </cell>
          <cell r="BE87">
            <v>19</v>
          </cell>
          <cell r="BF87">
            <v>17.399999999999999</v>
          </cell>
          <cell r="BG87">
            <v>14.3</v>
          </cell>
          <cell r="BH87">
            <v>15.8</v>
          </cell>
          <cell r="BI87" t="str">
            <v>--</v>
          </cell>
          <cell r="BJ87">
            <v>14.3</v>
          </cell>
          <cell r="BK87">
            <v>12.7</v>
          </cell>
          <cell r="BL87">
            <v>11.1</v>
          </cell>
          <cell r="BM87">
            <v>9.5</v>
          </cell>
          <cell r="BN87" t="str">
            <v>--</v>
          </cell>
          <cell r="BO87" t="str">
            <v>--</v>
          </cell>
          <cell r="BP87" t="str">
            <v>--</v>
          </cell>
          <cell r="BQ87" t="str">
            <v>--</v>
          </cell>
          <cell r="BR87" t="str">
            <v>--</v>
          </cell>
          <cell r="BS87" t="str">
            <v>--</v>
          </cell>
          <cell r="BT87" t="str">
            <v>--</v>
          </cell>
          <cell r="BU87" t="str">
            <v>--</v>
          </cell>
          <cell r="BV87" t="str">
            <v>--</v>
          </cell>
          <cell r="BW87" t="str">
            <v>--</v>
          </cell>
          <cell r="BX87" t="str">
            <v>--</v>
          </cell>
          <cell r="BY87" t="str">
            <v>--</v>
          </cell>
          <cell r="BZ87" t="str">
            <v>--</v>
          </cell>
          <cell r="CA87" t="str">
            <v>--</v>
          </cell>
          <cell r="CB87" t="str">
            <v>--</v>
          </cell>
          <cell r="CC87" t="str">
            <v>--</v>
          </cell>
          <cell r="CD87" t="str">
            <v>--</v>
          </cell>
          <cell r="CE87" t="str">
            <v>--</v>
          </cell>
          <cell r="CF87" t="str">
            <v>--</v>
          </cell>
          <cell r="CG87" t="str">
            <v>--</v>
          </cell>
          <cell r="CH87" t="str">
            <v>--</v>
          </cell>
          <cell r="CI87" t="str">
            <v>--</v>
          </cell>
          <cell r="CJ87" t="str">
            <v>--</v>
          </cell>
          <cell r="CK87" t="str">
            <v>--</v>
          </cell>
          <cell r="CL87" t="str">
            <v>--</v>
          </cell>
          <cell r="CM87" t="str">
            <v>--</v>
          </cell>
          <cell r="CN87" t="str">
            <v>--</v>
          </cell>
          <cell r="CO87" t="str">
            <v>--</v>
          </cell>
          <cell r="CP87" t="str">
            <v>--</v>
          </cell>
          <cell r="CQ87" t="str">
            <v>--</v>
          </cell>
          <cell r="CR87" t="str">
            <v>--</v>
          </cell>
          <cell r="CS87" t="str">
            <v>--</v>
          </cell>
          <cell r="CT87" t="str">
            <v>--</v>
          </cell>
          <cell r="CU87" t="str">
            <v>--</v>
          </cell>
          <cell r="CV87" t="str">
            <v>--</v>
          </cell>
          <cell r="CW87" t="str">
            <v>--</v>
          </cell>
          <cell r="CX87" t="str">
            <v>--</v>
          </cell>
          <cell r="CY87" t="str">
            <v>--</v>
          </cell>
          <cell r="CZ87" t="str">
            <v>--</v>
          </cell>
          <cell r="DA87" t="str">
            <v>--</v>
          </cell>
          <cell r="DB87" t="str">
            <v>--</v>
          </cell>
          <cell r="DC87" t="str">
            <v>--</v>
          </cell>
          <cell r="DD87" t="str">
            <v>--</v>
          </cell>
          <cell r="DE87" t="str">
            <v>--</v>
          </cell>
          <cell r="DF87" t="str">
            <v>--</v>
          </cell>
          <cell r="DG87" t="str">
            <v>--</v>
          </cell>
          <cell r="DH87" t="str">
            <v>--</v>
          </cell>
          <cell r="DI87" t="str">
            <v>--</v>
          </cell>
          <cell r="DJ87" t="str">
            <v>--</v>
          </cell>
          <cell r="DK87" t="str">
            <v>--</v>
          </cell>
          <cell r="DL87" t="str">
            <v>--</v>
          </cell>
          <cell r="DM87" t="str">
            <v>--</v>
          </cell>
          <cell r="DN87" t="str">
            <v>--</v>
          </cell>
          <cell r="DO87" t="str">
            <v>--</v>
          </cell>
          <cell r="DP87" t="str">
            <v>--</v>
          </cell>
          <cell r="DQ87" t="str">
            <v>--</v>
          </cell>
          <cell r="DR87" t="str">
            <v>--</v>
          </cell>
          <cell r="DS87" t="str">
            <v>--</v>
          </cell>
          <cell r="DT87" t="str">
            <v>--</v>
          </cell>
          <cell r="DU87" t="str">
            <v>--</v>
          </cell>
          <cell r="DV87" t="str">
            <v>--</v>
          </cell>
          <cell r="DW87" t="str">
            <v>--</v>
          </cell>
          <cell r="DX87" t="str">
            <v>--</v>
          </cell>
          <cell r="DY87" t="str">
            <v>--</v>
          </cell>
          <cell r="DZ87" t="str">
            <v>--</v>
          </cell>
          <cell r="EA87" t="str">
            <v>--</v>
          </cell>
          <cell r="EB87" t="str">
            <v>--</v>
          </cell>
          <cell r="EC87" t="str">
            <v>--</v>
          </cell>
          <cell r="ED87" t="str">
            <v>--</v>
          </cell>
          <cell r="EE87" t="str">
            <v>--</v>
          </cell>
          <cell r="EF87" t="str">
            <v>--</v>
          </cell>
          <cell r="EG87" t="str">
            <v>--</v>
          </cell>
        </row>
        <row r="88">
          <cell r="A88" t="str">
            <v>00350525Afr. Amer/Black</v>
          </cell>
          <cell r="B88" t="str">
            <v>00350525B</v>
          </cell>
          <cell r="C88" t="str">
            <v>0035</v>
          </cell>
          <cell r="D88" t="str">
            <v>00350525</v>
          </cell>
          <cell r="E88" t="str">
            <v>Boston</v>
          </cell>
          <cell r="F88" t="str">
            <v>Jeremiah E Burke High</v>
          </cell>
          <cell r="G88" t="str">
            <v>HS</v>
          </cell>
          <cell r="H88" t="str">
            <v>Boston - Jeremiah E Burke High (00350525)</v>
          </cell>
          <cell r="I88" t="str">
            <v>Afr. Amer/Black</v>
          </cell>
          <cell r="J88" t="str">
            <v>00350525Afr. Amer/Black</v>
          </cell>
          <cell r="K88" t="str">
            <v>--</v>
          </cell>
          <cell r="L88">
            <v>70.900000000000006</v>
          </cell>
          <cell r="M88">
            <v>73.3</v>
          </cell>
          <cell r="N88">
            <v>78.8</v>
          </cell>
          <cell r="O88">
            <v>75.8</v>
          </cell>
          <cell r="P88">
            <v>87.2</v>
          </cell>
          <cell r="Q88">
            <v>78.2</v>
          </cell>
          <cell r="R88">
            <v>80.599999999999994</v>
          </cell>
          <cell r="S88">
            <v>83</v>
          </cell>
          <cell r="T88">
            <v>85.5</v>
          </cell>
          <cell r="U88">
            <v>69.099999999999994</v>
          </cell>
          <cell r="V88">
            <v>71.7</v>
          </cell>
          <cell r="W88">
            <v>79.900000000000006</v>
          </cell>
          <cell r="X88">
            <v>74.3</v>
          </cell>
          <cell r="Y88">
            <v>69.099999999999994</v>
          </cell>
          <cell r="Z88">
            <v>76.8</v>
          </cell>
          <cell r="AA88">
            <v>79.400000000000006</v>
          </cell>
          <cell r="AB88">
            <v>82</v>
          </cell>
          <cell r="AC88">
            <v>84.6</v>
          </cell>
          <cell r="AD88">
            <v>51.6</v>
          </cell>
          <cell r="AE88">
            <v>55.6</v>
          </cell>
          <cell r="AF88">
            <v>67.599999999999994</v>
          </cell>
          <cell r="AG88">
            <v>59.7</v>
          </cell>
          <cell r="AH88">
            <v>70</v>
          </cell>
          <cell r="AI88">
            <v>63.7</v>
          </cell>
          <cell r="AJ88">
            <v>67.7</v>
          </cell>
          <cell r="AK88">
            <v>71.8</v>
          </cell>
          <cell r="AL88">
            <v>75.8</v>
          </cell>
          <cell r="AM88">
            <v>38.6</v>
          </cell>
          <cell r="AN88">
            <v>41.1</v>
          </cell>
          <cell r="AO88">
            <v>44.8</v>
          </cell>
          <cell r="AP88">
            <v>47.3</v>
          </cell>
          <cell r="AQ88">
            <v>51</v>
          </cell>
          <cell r="AR88">
            <v>53.5</v>
          </cell>
          <cell r="AS88">
            <v>56</v>
          </cell>
          <cell r="AT88">
            <v>58.5</v>
          </cell>
          <cell r="AU88">
            <v>61</v>
          </cell>
          <cell r="AV88">
            <v>48.3</v>
          </cell>
          <cell r="AW88">
            <v>50.8</v>
          </cell>
          <cell r="AX88">
            <v>48.4</v>
          </cell>
          <cell r="AY88">
            <v>50.9</v>
          </cell>
          <cell r="AZ88">
            <v>51.2</v>
          </cell>
          <cell r="BA88">
            <v>53.7</v>
          </cell>
          <cell r="BB88">
            <v>56.2</v>
          </cell>
          <cell r="BC88">
            <v>58.7</v>
          </cell>
          <cell r="BD88">
            <v>61.2</v>
          </cell>
          <cell r="BE88">
            <v>11.3</v>
          </cell>
          <cell r="BF88">
            <v>10.4</v>
          </cell>
          <cell r="BG88">
            <v>9.6999999999999993</v>
          </cell>
          <cell r="BH88">
            <v>9.4</v>
          </cell>
          <cell r="BI88">
            <v>13.4</v>
          </cell>
          <cell r="BJ88">
            <v>8.5</v>
          </cell>
          <cell r="BK88">
            <v>7.5</v>
          </cell>
          <cell r="BL88">
            <v>6.6</v>
          </cell>
          <cell r="BM88">
            <v>5.7</v>
          </cell>
          <cell r="BN88">
            <v>35</v>
          </cell>
          <cell r="BO88">
            <v>45</v>
          </cell>
          <cell r="BP88">
            <v>41.5</v>
          </cell>
          <cell r="BQ88">
            <v>51</v>
          </cell>
          <cell r="BR88">
            <v>44.5</v>
          </cell>
          <cell r="BS88">
            <v>51</v>
          </cell>
          <cell r="BT88">
            <v>51</v>
          </cell>
          <cell r="BU88">
            <v>51</v>
          </cell>
          <cell r="BV88">
            <v>51</v>
          </cell>
          <cell r="BW88">
            <v>60</v>
          </cell>
          <cell r="BX88">
            <v>51</v>
          </cell>
          <cell r="BY88">
            <v>64</v>
          </cell>
          <cell r="BZ88">
            <v>51</v>
          </cell>
          <cell r="CA88">
            <v>46</v>
          </cell>
          <cell r="CB88">
            <v>51</v>
          </cell>
          <cell r="CC88">
            <v>51</v>
          </cell>
          <cell r="CD88">
            <v>51</v>
          </cell>
          <cell r="CE88">
            <v>51</v>
          </cell>
          <cell r="CF88">
            <v>17.5</v>
          </cell>
          <cell r="CG88">
            <v>15.8</v>
          </cell>
          <cell r="CH88">
            <v>6.9</v>
          </cell>
          <cell r="CI88">
            <v>6.2</v>
          </cell>
          <cell r="CJ88">
            <v>5.6</v>
          </cell>
          <cell r="CK88">
            <v>5</v>
          </cell>
          <cell r="CL88">
            <v>4.5</v>
          </cell>
          <cell r="CM88">
            <v>4.0999999999999996</v>
          </cell>
          <cell r="CN88">
            <v>3.7</v>
          </cell>
          <cell r="CO88">
            <v>19.399999999999999</v>
          </cell>
          <cell r="CP88">
            <v>17.5</v>
          </cell>
          <cell r="CQ88">
            <v>7</v>
          </cell>
          <cell r="CR88">
            <v>6.3</v>
          </cell>
          <cell r="CS88">
            <v>22.2</v>
          </cell>
          <cell r="CT88">
            <v>20</v>
          </cell>
          <cell r="CU88">
            <v>18</v>
          </cell>
          <cell r="CV88">
            <v>16.2</v>
          </cell>
          <cell r="CW88">
            <v>14.6</v>
          </cell>
          <cell r="CX88">
            <v>27.5</v>
          </cell>
          <cell r="CY88">
            <v>24.8</v>
          </cell>
          <cell r="CZ88">
            <v>8.5</v>
          </cell>
          <cell r="DA88">
            <v>7.7</v>
          </cell>
          <cell r="DB88">
            <v>14.5</v>
          </cell>
          <cell r="DC88">
            <v>13.1</v>
          </cell>
          <cell r="DD88">
            <v>11.7</v>
          </cell>
          <cell r="DE88">
            <v>10.6</v>
          </cell>
          <cell r="DF88">
            <v>9.5</v>
          </cell>
          <cell r="DG88">
            <v>1</v>
          </cell>
          <cell r="DH88">
            <v>1.1000000000000001</v>
          </cell>
          <cell r="DI88">
            <v>2.8</v>
          </cell>
          <cell r="DJ88">
            <v>3.1</v>
          </cell>
          <cell r="DK88">
            <v>6.9</v>
          </cell>
          <cell r="DL88">
            <v>7.6</v>
          </cell>
          <cell r="DM88">
            <v>8.3000000000000007</v>
          </cell>
          <cell r="DN88">
            <v>9.1999999999999993</v>
          </cell>
          <cell r="DO88">
            <v>10.1</v>
          </cell>
          <cell r="DP88">
            <v>10.199999999999999</v>
          </cell>
          <cell r="DQ88">
            <v>11.2</v>
          </cell>
          <cell r="DR88">
            <v>14.1</v>
          </cell>
          <cell r="DS88">
            <v>15.5</v>
          </cell>
          <cell r="DT88">
            <v>8.3000000000000007</v>
          </cell>
          <cell r="DU88">
            <v>9.1</v>
          </cell>
          <cell r="DV88">
            <v>10</v>
          </cell>
          <cell r="DW88">
            <v>11</v>
          </cell>
          <cell r="DX88">
            <v>12.2</v>
          </cell>
          <cell r="DY88">
            <v>0</v>
          </cell>
          <cell r="DZ88">
            <v>1</v>
          </cell>
          <cell r="EA88">
            <v>2.1</v>
          </cell>
          <cell r="EB88">
            <v>2.2999999999999998</v>
          </cell>
          <cell r="EC88">
            <v>3.6</v>
          </cell>
          <cell r="ED88">
            <v>4</v>
          </cell>
          <cell r="EE88">
            <v>4.4000000000000004</v>
          </cell>
          <cell r="EF88">
            <v>4.8</v>
          </cell>
          <cell r="EG88">
            <v>5.3</v>
          </cell>
        </row>
        <row r="89">
          <cell r="A89" t="str">
            <v>00350525White</v>
          </cell>
          <cell r="B89" t="str">
            <v>00350525C</v>
          </cell>
          <cell r="C89" t="str">
            <v>0035</v>
          </cell>
          <cell r="D89" t="str">
            <v>00350525</v>
          </cell>
          <cell r="E89" t="str">
            <v>Boston</v>
          </cell>
          <cell r="F89" t="str">
            <v>Jeremiah E Burke High</v>
          </cell>
          <cell r="G89" t="str">
            <v>HS</v>
          </cell>
          <cell r="H89" t="str">
            <v>Boston - Jeremiah E Burke High (00350525)</v>
          </cell>
          <cell r="I89" t="str">
            <v>White</v>
          </cell>
          <cell r="J89" t="str">
            <v>00350525White</v>
          </cell>
          <cell r="K89" t="str">
            <v>--</v>
          </cell>
          <cell r="L89" t="str">
            <v>--</v>
          </cell>
          <cell r="M89" t="str">
            <v>--</v>
          </cell>
          <cell r="N89" t="str">
            <v>--</v>
          </cell>
          <cell r="O89" t="str">
            <v>--</v>
          </cell>
          <cell r="P89" t="str">
            <v>--</v>
          </cell>
          <cell r="Q89" t="str">
            <v>--</v>
          </cell>
          <cell r="R89" t="str">
            <v>--</v>
          </cell>
          <cell r="S89" t="str">
            <v>--</v>
          </cell>
          <cell r="T89" t="str">
            <v>--</v>
          </cell>
          <cell r="U89" t="str">
            <v>--</v>
          </cell>
          <cell r="V89" t="str">
            <v>--</v>
          </cell>
          <cell r="W89" t="str">
            <v>--</v>
          </cell>
          <cell r="X89" t="str">
            <v>--</v>
          </cell>
          <cell r="Y89" t="str">
            <v>--</v>
          </cell>
          <cell r="Z89" t="str">
            <v>--</v>
          </cell>
          <cell r="AA89" t="str">
            <v>--</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t="str">
            <v>--</v>
          </cell>
          <cell r="AQ89" t="str">
            <v>--</v>
          </cell>
          <cell r="AR89" t="str">
            <v>--</v>
          </cell>
          <cell r="AS89" t="str">
            <v>--</v>
          </cell>
          <cell r="AT89" t="str">
            <v>--</v>
          </cell>
          <cell r="AU89" t="str">
            <v>--</v>
          </cell>
          <cell r="AV89" t="str">
            <v>--</v>
          </cell>
          <cell r="AW89" t="str">
            <v>--</v>
          </cell>
          <cell r="AX89" t="str">
            <v>--</v>
          </cell>
          <cell r="AY89" t="str">
            <v>--</v>
          </cell>
          <cell r="AZ89" t="str">
            <v>--</v>
          </cell>
          <cell r="BA89" t="str">
            <v>--</v>
          </cell>
          <cell r="BB89" t="str">
            <v>--</v>
          </cell>
          <cell r="BC89" t="str">
            <v>--</v>
          </cell>
          <cell r="BD89" t="str">
            <v>--</v>
          </cell>
          <cell r="BE89">
            <v>26.1</v>
          </cell>
          <cell r="BF89">
            <v>23.9</v>
          </cell>
          <cell r="BG89">
            <v>16.7</v>
          </cell>
          <cell r="BH89">
            <v>21.8</v>
          </cell>
          <cell r="BI89">
            <v>14.3</v>
          </cell>
          <cell r="BJ89">
            <v>19.600000000000001</v>
          </cell>
          <cell r="BK89">
            <v>17.399999999999999</v>
          </cell>
          <cell r="BL89">
            <v>15.2</v>
          </cell>
          <cell r="BM89">
            <v>13.1</v>
          </cell>
          <cell r="BN89" t="str">
            <v>--</v>
          </cell>
          <cell r="BO89" t="str">
            <v>--</v>
          </cell>
          <cell r="BP89" t="str">
            <v>--</v>
          </cell>
          <cell r="BQ89" t="str">
            <v>--</v>
          </cell>
          <cell r="BR89" t="str">
            <v>--</v>
          </cell>
          <cell r="BS89" t="str">
            <v>--</v>
          </cell>
          <cell r="BT89" t="str">
            <v>--</v>
          </cell>
          <cell r="BU89" t="str">
            <v>--</v>
          </cell>
          <cell r="BV89" t="str">
            <v>--</v>
          </cell>
          <cell r="BW89" t="str">
            <v>--</v>
          </cell>
          <cell r="BX89" t="str">
            <v>--</v>
          </cell>
          <cell r="BY89" t="str">
            <v>--</v>
          </cell>
          <cell r="BZ89" t="str">
            <v>--</v>
          </cell>
          <cell r="CA89" t="str">
            <v>--</v>
          </cell>
          <cell r="CB89" t="str">
            <v>--</v>
          </cell>
          <cell r="CC89" t="str">
            <v>--</v>
          </cell>
          <cell r="CD89" t="str">
            <v>--</v>
          </cell>
          <cell r="CE89" t="str">
            <v>--</v>
          </cell>
          <cell r="CF89" t="str">
            <v>--</v>
          </cell>
          <cell r="CG89" t="str">
            <v>--</v>
          </cell>
          <cell r="CH89" t="str">
            <v>--</v>
          </cell>
          <cell r="CI89" t="str">
            <v>--</v>
          </cell>
          <cell r="CJ89" t="str">
            <v>--</v>
          </cell>
          <cell r="CK89" t="str">
            <v>--</v>
          </cell>
          <cell r="CL89" t="str">
            <v>--</v>
          </cell>
          <cell r="CM89" t="str">
            <v>--</v>
          </cell>
          <cell r="CN89" t="str">
            <v>--</v>
          </cell>
          <cell r="CO89" t="str">
            <v>--</v>
          </cell>
          <cell r="CP89" t="str">
            <v>--</v>
          </cell>
          <cell r="CQ89" t="str">
            <v>--</v>
          </cell>
          <cell r="CR89" t="str">
            <v>--</v>
          </cell>
          <cell r="CS89" t="str">
            <v>--</v>
          </cell>
          <cell r="CT89" t="str">
            <v>--</v>
          </cell>
          <cell r="CU89" t="str">
            <v>--</v>
          </cell>
          <cell r="CV89" t="str">
            <v>--</v>
          </cell>
          <cell r="CW89" t="str">
            <v>--</v>
          </cell>
          <cell r="CX89" t="str">
            <v>--</v>
          </cell>
          <cell r="CY89" t="str">
            <v>--</v>
          </cell>
          <cell r="CZ89" t="str">
            <v>--</v>
          </cell>
          <cell r="DA89" t="str">
            <v>--</v>
          </cell>
          <cell r="DB89" t="str">
            <v>--</v>
          </cell>
          <cell r="DC89" t="str">
            <v>--</v>
          </cell>
          <cell r="DD89" t="str">
            <v>--</v>
          </cell>
          <cell r="DE89" t="str">
            <v>--</v>
          </cell>
          <cell r="DF89" t="str">
            <v>--</v>
          </cell>
          <cell r="DG89" t="str">
            <v>--</v>
          </cell>
          <cell r="DH89" t="str">
            <v>--</v>
          </cell>
          <cell r="DI89" t="str">
            <v>--</v>
          </cell>
          <cell r="DJ89" t="str">
            <v>--</v>
          </cell>
          <cell r="DK89" t="str">
            <v>--</v>
          </cell>
          <cell r="DL89" t="str">
            <v>--</v>
          </cell>
          <cell r="DM89" t="str">
            <v>--</v>
          </cell>
          <cell r="DN89" t="str">
            <v>--</v>
          </cell>
          <cell r="DO89" t="str">
            <v>--</v>
          </cell>
          <cell r="DP89" t="str">
            <v>--</v>
          </cell>
          <cell r="DQ89" t="str">
            <v>--</v>
          </cell>
          <cell r="DR89" t="str">
            <v>--</v>
          </cell>
          <cell r="DS89" t="str">
            <v>--</v>
          </cell>
          <cell r="DT89" t="str">
            <v>--</v>
          </cell>
          <cell r="DU89" t="str">
            <v>--</v>
          </cell>
          <cell r="DV89" t="str">
            <v>--</v>
          </cell>
          <cell r="DW89" t="str">
            <v>--</v>
          </cell>
          <cell r="DX89" t="str">
            <v>--</v>
          </cell>
          <cell r="DY89" t="str">
            <v>--</v>
          </cell>
          <cell r="DZ89" t="str">
            <v>--</v>
          </cell>
          <cell r="EA89" t="str">
            <v>--</v>
          </cell>
          <cell r="EB89" t="str">
            <v>--</v>
          </cell>
          <cell r="EC89" t="str">
            <v>--</v>
          </cell>
          <cell r="ED89" t="str">
            <v>--</v>
          </cell>
          <cell r="EE89" t="str">
            <v>--</v>
          </cell>
          <cell r="EF89" t="str">
            <v>--</v>
          </cell>
          <cell r="EG89" t="str">
            <v>--</v>
          </cell>
        </row>
        <row r="90">
          <cell r="A90" t="str">
            <v>00350525Students w/disabilities</v>
          </cell>
          <cell r="B90" t="str">
            <v>00350525D</v>
          </cell>
          <cell r="C90" t="str">
            <v>0035</v>
          </cell>
          <cell r="D90" t="str">
            <v>00350525</v>
          </cell>
          <cell r="E90" t="str">
            <v>Boston</v>
          </cell>
          <cell r="F90" t="str">
            <v>Jeremiah E Burke High</v>
          </cell>
          <cell r="G90" t="str">
            <v>HS</v>
          </cell>
          <cell r="H90" t="str">
            <v>Boston - Jeremiah E Burke High (00350525)</v>
          </cell>
          <cell r="I90" t="str">
            <v>Students w/disabilities</v>
          </cell>
          <cell r="J90" t="str">
            <v>00350525Students w/disabilities</v>
          </cell>
          <cell r="K90" t="str">
            <v>--</v>
          </cell>
          <cell r="L90">
            <v>64.7</v>
          </cell>
          <cell r="M90">
            <v>67.599999999999994</v>
          </cell>
          <cell r="N90">
            <v>72.5</v>
          </cell>
          <cell r="O90">
            <v>70.599999999999994</v>
          </cell>
          <cell r="P90">
            <v>77.5</v>
          </cell>
          <cell r="Q90">
            <v>73.5</v>
          </cell>
          <cell r="R90">
            <v>76.5</v>
          </cell>
          <cell r="S90">
            <v>79.400000000000006</v>
          </cell>
          <cell r="T90">
            <v>82.4</v>
          </cell>
          <cell r="U90">
            <v>52.9</v>
          </cell>
          <cell r="V90">
            <v>56.8</v>
          </cell>
          <cell r="W90">
            <v>52.5</v>
          </cell>
          <cell r="X90">
            <v>60.8</v>
          </cell>
          <cell r="Y90">
            <v>56.3</v>
          </cell>
          <cell r="Z90">
            <v>64.7</v>
          </cell>
          <cell r="AA90">
            <v>68.599999999999994</v>
          </cell>
          <cell r="AB90">
            <v>72.5</v>
          </cell>
          <cell r="AC90">
            <v>76.5</v>
          </cell>
          <cell r="AD90">
            <v>42.6</v>
          </cell>
          <cell r="AE90">
            <v>47.4</v>
          </cell>
          <cell r="AF90">
            <v>56.3</v>
          </cell>
          <cell r="AG90">
            <v>52.2</v>
          </cell>
          <cell r="AH90">
            <v>59.7</v>
          </cell>
          <cell r="AI90">
            <v>57</v>
          </cell>
          <cell r="AJ90">
            <v>61.7</v>
          </cell>
          <cell r="AK90">
            <v>66.5</v>
          </cell>
          <cell r="AL90">
            <v>71.3</v>
          </cell>
          <cell r="AM90">
            <v>15.7</v>
          </cell>
          <cell r="AN90">
            <v>18.2</v>
          </cell>
          <cell r="AO90">
            <v>31.7</v>
          </cell>
          <cell r="AP90">
            <v>34.200000000000003</v>
          </cell>
          <cell r="AQ90">
            <v>37.700000000000003</v>
          </cell>
          <cell r="AR90">
            <v>40.200000000000003</v>
          </cell>
          <cell r="AS90">
            <v>42.7</v>
          </cell>
          <cell r="AT90">
            <v>45.2</v>
          </cell>
          <cell r="AU90">
            <v>47.7</v>
          </cell>
          <cell r="AV90">
            <v>23.5</v>
          </cell>
          <cell r="AW90">
            <v>26</v>
          </cell>
          <cell r="AX90">
            <v>27.5</v>
          </cell>
          <cell r="AY90">
            <v>30</v>
          </cell>
          <cell r="AZ90">
            <v>36.5</v>
          </cell>
          <cell r="BA90">
            <v>39</v>
          </cell>
          <cell r="BB90">
            <v>41.5</v>
          </cell>
          <cell r="BC90">
            <v>44</v>
          </cell>
          <cell r="BD90">
            <v>46.5</v>
          </cell>
          <cell r="BE90">
            <v>7.5</v>
          </cell>
          <cell r="BF90">
            <v>6.9</v>
          </cell>
          <cell r="BG90">
            <v>12.9</v>
          </cell>
          <cell r="BH90">
            <v>6.3</v>
          </cell>
          <cell r="BI90">
            <v>3.1</v>
          </cell>
          <cell r="BJ90">
            <v>5.6</v>
          </cell>
          <cell r="BK90">
            <v>5</v>
          </cell>
          <cell r="BL90">
            <v>4.4000000000000004</v>
          </cell>
          <cell r="BM90">
            <v>3.8</v>
          </cell>
          <cell r="BN90" t="str">
            <v>--</v>
          </cell>
          <cell r="BO90" t="str">
            <v>--</v>
          </cell>
          <cell r="BP90" t="str">
            <v>--</v>
          </cell>
          <cell r="BQ90" t="str">
            <v>--</v>
          </cell>
          <cell r="BR90" t="str">
            <v>--</v>
          </cell>
          <cell r="BS90" t="str">
            <v>--</v>
          </cell>
          <cell r="BT90" t="str">
            <v>--</v>
          </cell>
          <cell r="BU90" t="str">
            <v>--</v>
          </cell>
          <cell r="BV90" t="str">
            <v>--</v>
          </cell>
          <cell r="BW90" t="str">
            <v>--</v>
          </cell>
          <cell r="BX90" t="str">
            <v>--</v>
          </cell>
          <cell r="BY90" t="str">
            <v>--</v>
          </cell>
          <cell r="BZ90" t="str">
            <v>--</v>
          </cell>
          <cell r="CA90" t="str">
            <v>--</v>
          </cell>
          <cell r="CB90" t="str">
            <v>--</v>
          </cell>
          <cell r="CC90" t="str">
            <v>--</v>
          </cell>
          <cell r="CD90" t="str">
            <v>--</v>
          </cell>
          <cell r="CE90" t="str">
            <v>--</v>
          </cell>
          <cell r="CF90">
            <v>20.6</v>
          </cell>
          <cell r="CG90">
            <v>18.5</v>
          </cell>
          <cell r="CH90">
            <v>0</v>
          </cell>
          <cell r="CI90">
            <v>18.5</v>
          </cell>
          <cell r="CJ90">
            <v>10</v>
          </cell>
          <cell r="CK90">
            <v>9</v>
          </cell>
          <cell r="CL90">
            <v>8.1</v>
          </cell>
          <cell r="CM90">
            <v>7.3</v>
          </cell>
          <cell r="CN90">
            <v>6.6</v>
          </cell>
          <cell r="CO90">
            <v>34.299999999999997</v>
          </cell>
          <cell r="CP90">
            <v>30.9</v>
          </cell>
          <cell r="CQ90">
            <v>30</v>
          </cell>
          <cell r="CR90">
            <v>30.9</v>
          </cell>
          <cell r="CS90">
            <v>30</v>
          </cell>
          <cell r="CT90">
            <v>27</v>
          </cell>
          <cell r="CU90">
            <v>24.3</v>
          </cell>
          <cell r="CV90">
            <v>21.9</v>
          </cell>
          <cell r="CW90">
            <v>19.7</v>
          </cell>
          <cell r="CX90">
            <v>48.6</v>
          </cell>
          <cell r="CY90">
            <v>43.7</v>
          </cell>
          <cell r="CZ90">
            <v>12.5</v>
          </cell>
          <cell r="DA90">
            <v>43.7</v>
          </cell>
          <cell r="DB90">
            <v>22.2</v>
          </cell>
          <cell r="DC90" t="str">
            <v>--</v>
          </cell>
          <cell r="DD90" t="str">
            <v>--</v>
          </cell>
          <cell r="DE90" t="str">
            <v>--</v>
          </cell>
          <cell r="DF90" t="str">
            <v>--</v>
          </cell>
          <cell r="DG90">
            <v>0</v>
          </cell>
          <cell r="DH90">
            <v>1</v>
          </cell>
          <cell r="DI90">
            <v>0</v>
          </cell>
          <cell r="DJ90">
            <v>1</v>
          </cell>
          <cell r="DK90">
            <v>5</v>
          </cell>
          <cell r="DL90">
            <v>5.5</v>
          </cell>
          <cell r="DM90">
            <v>6.1</v>
          </cell>
          <cell r="DN90">
            <v>6.7</v>
          </cell>
          <cell r="DO90">
            <v>7.3</v>
          </cell>
          <cell r="DP90">
            <v>0</v>
          </cell>
          <cell r="DQ90">
            <v>1</v>
          </cell>
          <cell r="DR90">
            <v>0</v>
          </cell>
          <cell r="DS90">
            <v>1</v>
          </cell>
          <cell r="DT90">
            <v>0</v>
          </cell>
          <cell r="DU90">
            <v>1</v>
          </cell>
          <cell r="DV90">
            <v>1.1000000000000001</v>
          </cell>
          <cell r="DW90">
            <v>1.2</v>
          </cell>
          <cell r="DX90">
            <v>1.3</v>
          </cell>
          <cell r="DY90">
            <v>0</v>
          </cell>
          <cell r="DZ90">
            <v>1</v>
          </cell>
          <cell r="EA90">
            <v>0</v>
          </cell>
          <cell r="EB90">
            <v>1</v>
          </cell>
          <cell r="EC90">
            <v>0</v>
          </cell>
          <cell r="ED90" t="str">
            <v>--</v>
          </cell>
          <cell r="EE90" t="str">
            <v>--</v>
          </cell>
          <cell r="EF90" t="str">
            <v>--</v>
          </cell>
          <cell r="EG90" t="str">
            <v>--</v>
          </cell>
        </row>
        <row r="91">
          <cell r="A91" t="str">
            <v>00350525Low income</v>
          </cell>
          <cell r="B91" t="str">
            <v>00350525F</v>
          </cell>
          <cell r="C91" t="str">
            <v>0035</v>
          </cell>
          <cell r="D91" t="str">
            <v>00350525</v>
          </cell>
          <cell r="E91" t="str">
            <v>Boston</v>
          </cell>
          <cell r="F91" t="str">
            <v>Jeremiah E Burke High</v>
          </cell>
          <cell r="G91" t="str">
            <v>HS</v>
          </cell>
          <cell r="H91" t="str">
            <v>Boston - Jeremiah E Burke High (00350525)</v>
          </cell>
          <cell r="I91" t="str">
            <v>Low income</v>
          </cell>
          <cell r="J91" t="str">
            <v>00350525Low income</v>
          </cell>
          <cell r="K91" t="str">
            <v>--</v>
          </cell>
          <cell r="L91">
            <v>72.5</v>
          </cell>
          <cell r="M91">
            <v>74.8</v>
          </cell>
          <cell r="N91">
            <v>81</v>
          </cell>
          <cell r="O91">
            <v>77.099999999999994</v>
          </cell>
          <cell r="P91">
            <v>89.5</v>
          </cell>
          <cell r="Q91">
            <v>79.400000000000006</v>
          </cell>
          <cell r="R91">
            <v>81.7</v>
          </cell>
          <cell r="S91">
            <v>84</v>
          </cell>
          <cell r="T91">
            <v>86.3</v>
          </cell>
          <cell r="U91">
            <v>66.7</v>
          </cell>
          <cell r="V91">
            <v>69.5</v>
          </cell>
          <cell r="W91">
            <v>77.400000000000006</v>
          </cell>
          <cell r="X91">
            <v>72.3</v>
          </cell>
          <cell r="Y91">
            <v>74</v>
          </cell>
          <cell r="Z91">
            <v>75</v>
          </cell>
          <cell r="AA91">
            <v>77.8</v>
          </cell>
          <cell r="AB91">
            <v>80.599999999999994</v>
          </cell>
          <cell r="AC91">
            <v>83.4</v>
          </cell>
          <cell r="AD91">
            <v>50.9</v>
          </cell>
          <cell r="AE91">
            <v>55</v>
          </cell>
          <cell r="AF91">
            <v>69.3</v>
          </cell>
          <cell r="AG91">
            <v>59.1</v>
          </cell>
          <cell r="AH91">
            <v>75</v>
          </cell>
          <cell r="AI91">
            <v>63.2</v>
          </cell>
          <cell r="AJ91">
            <v>67.3</v>
          </cell>
          <cell r="AK91">
            <v>71.400000000000006</v>
          </cell>
          <cell r="AL91">
            <v>75.5</v>
          </cell>
          <cell r="AM91">
            <v>39.700000000000003</v>
          </cell>
          <cell r="AN91">
            <v>42.2</v>
          </cell>
          <cell r="AO91">
            <v>48.5</v>
          </cell>
          <cell r="AP91">
            <v>51</v>
          </cell>
          <cell r="AQ91">
            <v>48.1</v>
          </cell>
          <cell r="AR91">
            <v>50.6</v>
          </cell>
          <cell r="AS91">
            <v>53.1</v>
          </cell>
          <cell r="AT91">
            <v>55.6</v>
          </cell>
          <cell r="AU91">
            <v>58.1</v>
          </cell>
          <cell r="AV91">
            <v>51.7</v>
          </cell>
          <cell r="AW91">
            <v>54.2</v>
          </cell>
          <cell r="AX91">
            <v>50.5</v>
          </cell>
          <cell r="AY91">
            <v>53</v>
          </cell>
          <cell r="AZ91">
            <v>54.9</v>
          </cell>
          <cell r="BA91">
            <v>57.4</v>
          </cell>
          <cell r="BB91">
            <v>59.9</v>
          </cell>
          <cell r="BC91">
            <v>62.4</v>
          </cell>
          <cell r="BD91">
            <v>64.900000000000006</v>
          </cell>
          <cell r="BE91">
            <v>11.3</v>
          </cell>
          <cell r="BF91">
            <v>10.4</v>
          </cell>
          <cell r="BG91">
            <v>11.2</v>
          </cell>
          <cell r="BH91">
            <v>9.4</v>
          </cell>
          <cell r="BI91">
            <v>12.6</v>
          </cell>
          <cell r="BJ91">
            <v>8.5</v>
          </cell>
          <cell r="BK91">
            <v>7.5</v>
          </cell>
          <cell r="BL91">
            <v>6.6</v>
          </cell>
          <cell r="BM91">
            <v>5.7</v>
          </cell>
          <cell r="BN91">
            <v>35</v>
          </cell>
          <cell r="BO91">
            <v>45</v>
          </cell>
          <cell r="BP91">
            <v>36</v>
          </cell>
          <cell r="BQ91">
            <v>46</v>
          </cell>
          <cell r="BR91">
            <v>52</v>
          </cell>
          <cell r="BS91">
            <v>51</v>
          </cell>
          <cell r="BT91">
            <v>51</v>
          </cell>
          <cell r="BU91">
            <v>51</v>
          </cell>
          <cell r="BV91">
            <v>51</v>
          </cell>
          <cell r="BW91">
            <v>57</v>
          </cell>
          <cell r="BX91">
            <v>51</v>
          </cell>
          <cell r="BY91">
            <v>60</v>
          </cell>
          <cell r="BZ91">
            <v>51</v>
          </cell>
          <cell r="CA91">
            <v>52</v>
          </cell>
          <cell r="CB91">
            <v>51</v>
          </cell>
          <cell r="CC91">
            <v>51</v>
          </cell>
          <cell r="CD91">
            <v>51</v>
          </cell>
          <cell r="CE91">
            <v>51</v>
          </cell>
          <cell r="CF91">
            <v>16</v>
          </cell>
          <cell r="CG91">
            <v>14.4</v>
          </cell>
          <cell r="CH91">
            <v>6</v>
          </cell>
          <cell r="CI91">
            <v>5.4</v>
          </cell>
          <cell r="CJ91">
            <v>5.3</v>
          </cell>
          <cell r="CK91">
            <v>4.8</v>
          </cell>
          <cell r="CL91">
            <v>4.3</v>
          </cell>
          <cell r="CM91">
            <v>3.9</v>
          </cell>
          <cell r="CN91">
            <v>3.5</v>
          </cell>
          <cell r="CO91">
            <v>20.6</v>
          </cell>
          <cell r="CP91">
            <v>18.5</v>
          </cell>
          <cell r="CQ91">
            <v>12</v>
          </cell>
          <cell r="CR91">
            <v>10.8</v>
          </cell>
          <cell r="CS91">
            <v>15.8</v>
          </cell>
          <cell r="CT91">
            <v>14.2</v>
          </cell>
          <cell r="CU91">
            <v>12.8</v>
          </cell>
          <cell r="CV91">
            <v>11.5</v>
          </cell>
          <cell r="CW91">
            <v>10.4</v>
          </cell>
          <cell r="CX91">
            <v>28.4</v>
          </cell>
          <cell r="CY91">
            <v>25.6</v>
          </cell>
          <cell r="CZ91">
            <v>8.8000000000000007</v>
          </cell>
          <cell r="DA91">
            <v>7.9</v>
          </cell>
          <cell r="DB91">
            <v>10.3</v>
          </cell>
          <cell r="DC91">
            <v>9.3000000000000007</v>
          </cell>
          <cell r="DD91">
            <v>8.3000000000000007</v>
          </cell>
          <cell r="DE91">
            <v>7.5</v>
          </cell>
          <cell r="DF91">
            <v>6.8</v>
          </cell>
          <cell r="DG91">
            <v>1</v>
          </cell>
          <cell r="DH91">
            <v>1.1000000000000001</v>
          </cell>
          <cell r="DI91">
            <v>6</v>
          </cell>
          <cell r="DJ91">
            <v>6.6</v>
          </cell>
          <cell r="DK91">
            <v>11.8</v>
          </cell>
          <cell r="DL91">
            <v>13</v>
          </cell>
          <cell r="DM91">
            <v>14.3</v>
          </cell>
          <cell r="DN91">
            <v>15.7</v>
          </cell>
          <cell r="DO91">
            <v>17.3</v>
          </cell>
          <cell r="DP91">
            <v>6.9</v>
          </cell>
          <cell r="DQ91">
            <v>7.6</v>
          </cell>
          <cell r="DR91">
            <v>16.899999999999999</v>
          </cell>
          <cell r="DS91">
            <v>18.600000000000001</v>
          </cell>
          <cell r="DT91">
            <v>11.8</v>
          </cell>
          <cell r="DU91">
            <v>13</v>
          </cell>
          <cell r="DV91">
            <v>14.3</v>
          </cell>
          <cell r="DW91">
            <v>15.7</v>
          </cell>
          <cell r="DX91">
            <v>17.3</v>
          </cell>
          <cell r="DY91">
            <v>0</v>
          </cell>
          <cell r="DZ91">
            <v>1</v>
          </cell>
          <cell r="EA91">
            <v>3.5</v>
          </cell>
          <cell r="EB91">
            <v>3.9</v>
          </cell>
          <cell r="EC91">
            <v>5.2</v>
          </cell>
          <cell r="ED91">
            <v>5.7</v>
          </cell>
          <cell r="EE91">
            <v>6.3</v>
          </cell>
          <cell r="EF91">
            <v>6.9</v>
          </cell>
          <cell r="EG91">
            <v>7.6</v>
          </cell>
        </row>
        <row r="92">
          <cell r="A92" t="str">
            <v>00350525Hispanic/Latino</v>
          </cell>
          <cell r="B92" t="str">
            <v>00350525H</v>
          </cell>
          <cell r="C92" t="str">
            <v>0035</v>
          </cell>
          <cell r="D92" t="str">
            <v>00350525</v>
          </cell>
          <cell r="E92" t="str">
            <v>Boston</v>
          </cell>
          <cell r="F92" t="str">
            <v>Jeremiah E Burke High</v>
          </cell>
          <cell r="G92" t="str">
            <v>HS</v>
          </cell>
          <cell r="H92" t="str">
            <v>Boston - Jeremiah E Burke High (00350525)</v>
          </cell>
          <cell r="I92" t="str">
            <v>Hispanic/Latino</v>
          </cell>
          <cell r="J92" t="str">
            <v>00350525Hispanic/Latino</v>
          </cell>
          <cell r="K92" t="str">
            <v>--</v>
          </cell>
          <cell r="L92">
            <v>78.3</v>
          </cell>
          <cell r="M92">
            <v>80.099999999999994</v>
          </cell>
          <cell r="N92">
            <v>86.8</v>
          </cell>
          <cell r="O92">
            <v>81.900000000000006</v>
          </cell>
          <cell r="P92">
            <v>97.2</v>
          </cell>
          <cell r="Q92">
            <v>83.7</v>
          </cell>
          <cell r="R92">
            <v>85.5</v>
          </cell>
          <cell r="S92">
            <v>87.3</v>
          </cell>
          <cell r="T92">
            <v>89.2</v>
          </cell>
          <cell r="U92">
            <v>64.599999999999994</v>
          </cell>
          <cell r="V92">
            <v>67.599999999999994</v>
          </cell>
          <cell r="W92">
            <v>72.400000000000006</v>
          </cell>
          <cell r="X92">
            <v>70.5</v>
          </cell>
          <cell r="Y92">
            <v>79.2</v>
          </cell>
          <cell r="Z92">
            <v>73.5</v>
          </cell>
          <cell r="AA92">
            <v>76.400000000000006</v>
          </cell>
          <cell r="AB92">
            <v>79.400000000000006</v>
          </cell>
          <cell r="AC92">
            <v>82.3</v>
          </cell>
          <cell r="AD92">
            <v>46.6</v>
          </cell>
          <cell r="AE92">
            <v>51.1</v>
          </cell>
          <cell r="AF92">
            <v>75</v>
          </cell>
          <cell r="AG92">
            <v>55.5</v>
          </cell>
          <cell r="AH92">
            <v>78.3</v>
          </cell>
          <cell r="AI92">
            <v>60</v>
          </cell>
          <cell r="AJ92">
            <v>64.400000000000006</v>
          </cell>
          <cell r="AK92">
            <v>68.900000000000006</v>
          </cell>
          <cell r="AL92">
            <v>73.3</v>
          </cell>
          <cell r="AM92">
            <v>24.6</v>
          </cell>
          <cell r="AN92">
            <v>27.1</v>
          </cell>
          <cell r="AO92">
            <v>34.4</v>
          </cell>
          <cell r="AP92">
            <v>36.9</v>
          </cell>
          <cell r="AQ92">
            <v>31.8</v>
          </cell>
          <cell r="AR92">
            <v>34.299999999999997</v>
          </cell>
          <cell r="AS92">
            <v>36.799999999999997</v>
          </cell>
          <cell r="AT92">
            <v>39.299999999999997</v>
          </cell>
          <cell r="AU92">
            <v>41.8</v>
          </cell>
          <cell r="AV92">
            <v>43.9</v>
          </cell>
          <cell r="AW92">
            <v>46.4</v>
          </cell>
          <cell r="AX92">
            <v>34.4</v>
          </cell>
          <cell r="AY92">
            <v>36.9</v>
          </cell>
          <cell r="AZ92">
            <v>39.299999999999997</v>
          </cell>
          <cell r="BA92">
            <v>41.8</v>
          </cell>
          <cell r="BB92">
            <v>44.3</v>
          </cell>
          <cell r="BC92">
            <v>46.8</v>
          </cell>
          <cell r="BD92">
            <v>49.3</v>
          </cell>
          <cell r="BE92">
            <v>21.3</v>
          </cell>
          <cell r="BF92">
            <v>19.5</v>
          </cell>
          <cell r="BG92">
            <v>20</v>
          </cell>
          <cell r="BH92">
            <v>17.8</v>
          </cell>
          <cell r="BI92">
            <v>10.4</v>
          </cell>
          <cell r="BJ92">
            <v>16</v>
          </cell>
          <cell r="BK92">
            <v>14.2</v>
          </cell>
          <cell r="BL92">
            <v>12.4</v>
          </cell>
          <cell r="BM92">
            <v>10.7</v>
          </cell>
          <cell r="BN92" t="str">
            <v>--</v>
          </cell>
          <cell r="BO92" t="str">
            <v>--</v>
          </cell>
          <cell r="BP92" t="str">
            <v>--</v>
          </cell>
          <cell r="BQ92" t="str">
            <v>--</v>
          </cell>
          <cell r="BR92" t="str">
            <v>--</v>
          </cell>
          <cell r="BS92" t="str">
            <v>--</v>
          </cell>
          <cell r="BT92" t="str">
            <v>--</v>
          </cell>
          <cell r="BU92" t="str">
            <v>--</v>
          </cell>
          <cell r="BV92" t="str">
            <v>--</v>
          </cell>
          <cell r="BW92" t="str">
            <v>--</v>
          </cell>
          <cell r="BX92" t="str">
            <v>--</v>
          </cell>
          <cell r="BY92" t="str">
            <v>--</v>
          </cell>
          <cell r="BZ92" t="str">
            <v>--</v>
          </cell>
          <cell r="CA92" t="str">
            <v>--</v>
          </cell>
          <cell r="CB92" t="str">
            <v>--</v>
          </cell>
          <cell r="CC92" t="str">
            <v>--</v>
          </cell>
          <cell r="CD92" t="str">
            <v>--</v>
          </cell>
          <cell r="CE92" t="str">
            <v>--</v>
          </cell>
          <cell r="CF92">
            <v>0</v>
          </cell>
          <cell r="CG92">
            <v>0</v>
          </cell>
          <cell r="CH92">
            <v>0</v>
          </cell>
          <cell r="CI92">
            <v>0</v>
          </cell>
          <cell r="CJ92">
            <v>0</v>
          </cell>
          <cell r="CK92" t="str">
            <v>--</v>
          </cell>
          <cell r="CL92" t="str">
            <v>--</v>
          </cell>
          <cell r="CM92" t="str">
            <v>--</v>
          </cell>
          <cell r="CN92" t="str">
            <v>--</v>
          </cell>
          <cell r="CO92">
            <v>25</v>
          </cell>
          <cell r="CP92">
            <v>22.5</v>
          </cell>
          <cell r="CQ92">
            <v>21.1</v>
          </cell>
          <cell r="CR92">
            <v>22.5</v>
          </cell>
          <cell r="CS92">
            <v>11.1</v>
          </cell>
          <cell r="CT92" t="str">
            <v>--</v>
          </cell>
          <cell r="CU92" t="str">
            <v>--</v>
          </cell>
          <cell r="CV92" t="str">
            <v>--</v>
          </cell>
          <cell r="CW92" t="str">
            <v>--</v>
          </cell>
          <cell r="CX92">
            <v>40.9</v>
          </cell>
          <cell r="CY92">
            <v>36.799999999999997</v>
          </cell>
          <cell r="CZ92">
            <v>7.7</v>
          </cell>
          <cell r="DA92">
            <v>36.799999999999997</v>
          </cell>
          <cell r="DB92">
            <v>6.7</v>
          </cell>
          <cell r="DC92" t="str">
            <v>--</v>
          </cell>
          <cell r="DD92" t="str">
            <v>--</v>
          </cell>
          <cell r="DE92" t="str">
            <v>--</v>
          </cell>
          <cell r="DF92" t="str">
            <v>--</v>
          </cell>
          <cell r="DG92">
            <v>0</v>
          </cell>
          <cell r="DH92">
            <v>1</v>
          </cell>
          <cell r="DI92">
            <v>15.8</v>
          </cell>
          <cell r="DJ92">
            <v>1</v>
          </cell>
          <cell r="DK92">
            <v>22.2</v>
          </cell>
          <cell r="DL92" t="str">
            <v>--</v>
          </cell>
          <cell r="DM92" t="str">
            <v>--</v>
          </cell>
          <cell r="DN92" t="str">
            <v>--</v>
          </cell>
          <cell r="DO92" t="str">
            <v>--</v>
          </cell>
          <cell r="DP92">
            <v>0</v>
          </cell>
          <cell r="DQ92">
            <v>1</v>
          </cell>
          <cell r="DR92">
            <v>26.3</v>
          </cell>
          <cell r="DS92">
            <v>1</v>
          </cell>
          <cell r="DT92">
            <v>16.7</v>
          </cell>
          <cell r="DU92" t="str">
            <v>--</v>
          </cell>
          <cell r="DV92" t="str">
            <v>--</v>
          </cell>
          <cell r="DW92" t="str">
            <v>--</v>
          </cell>
          <cell r="DX92" t="str">
            <v>--</v>
          </cell>
          <cell r="DY92">
            <v>0</v>
          </cell>
          <cell r="DZ92">
            <v>1</v>
          </cell>
          <cell r="EA92">
            <v>7.7</v>
          </cell>
          <cell r="EB92">
            <v>1</v>
          </cell>
          <cell r="EC92">
            <v>6.7</v>
          </cell>
          <cell r="ED92" t="str">
            <v>--</v>
          </cell>
          <cell r="EE92" t="str">
            <v>--</v>
          </cell>
          <cell r="EF92" t="str">
            <v>--</v>
          </cell>
          <cell r="EG92" t="str">
            <v>--</v>
          </cell>
        </row>
        <row r="93">
          <cell r="A93" t="str">
            <v>00350525ELL and Former ELL</v>
          </cell>
          <cell r="B93" t="str">
            <v>00350525L</v>
          </cell>
          <cell r="C93" t="str">
            <v>0035</v>
          </cell>
          <cell r="D93" t="str">
            <v>00350525</v>
          </cell>
          <cell r="E93" t="str">
            <v>Boston</v>
          </cell>
          <cell r="F93" t="str">
            <v>Jeremiah E Burke High</v>
          </cell>
          <cell r="G93" t="str">
            <v>HS</v>
          </cell>
          <cell r="H93" t="str">
            <v>Boston - Jeremiah E Burke High (00350525)</v>
          </cell>
          <cell r="I93" t="str">
            <v>ELL and Former ELL</v>
          </cell>
          <cell r="J93" t="str">
            <v>00350525ELL and Former ELL</v>
          </cell>
          <cell r="K93" t="str">
            <v>--</v>
          </cell>
          <cell r="L93">
            <v>69.3</v>
          </cell>
          <cell r="M93">
            <v>71.900000000000006</v>
          </cell>
          <cell r="N93">
            <v>63.5</v>
          </cell>
          <cell r="O93">
            <v>74.400000000000006</v>
          </cell>
          <cell r="P93">
            <v>77.2</v>
          </cell>
          <cell r="Q93">
            <v>77</v>
          </cell>
          <cell r="R93">
            <v>79.5</v>
          </cell>
          <cell r="S93">
            <v>82.1</v>
          </cell>
          <cell r="T93">
            <v>84.7</v>
          </cell>
          <cell r="U93">
            <v>85</v>
          </cell>
          <cell r="V93">
            <v>86.3</v>
          </cell>
          <cell r="W93">
            <v>77.900000000000006</v>
          </cell>
          <cell r="X93">
            <v>87.5</v>
          </cell>
          <cell r="Y93">
            <v>60.9</v>
          </cell>
          <cell r="Z93">
            <v>88.8</v>
          </cell>
          <cell r="AA93">
            <v>90</v>
          </cell>
          <cell r="AB93">
            <v>91.3</v>
          </cell>
          <cell r="AC93">
            <v>92.5</v>
          </cell>
          <cell r="AD93">
            <v>54</v>
          </cell>
          <cell r="AE93">
            <v>57.8</v>
          </cell>
          <cell r="AF93">
            <v>48.5</v>
          </cell>
          <cell r="AG93">
            <v>61.7</v>
          </cell>
          <cell r="AH93">
            <v>65.400000000000006</v>
          </cell>
          <cell r="AI93">
            <v>65.5</v>
          </cell>
          <cell r="AJ93">
            <v>69.3</v>
          </cell>
          <cell r="AK93">
            <v>73.2</v>
          </cell>
          <cell r="AL93">
            <v>77</v>
          </cell>
          <cell r="AM93">
            <v>39</v>
          </cell>
          <cell r="AN93">
            <v>41.5</v>
          </cell>
          <cell r="AO93">
            <v>50.7</v>
          </cell>
          <cell r="AP93">
            <v>53.2</v>
          </cell>
          <cell r="AQ93">
            <v>55.6</v>
          </cell>
          <cell r="AR93">
            <v>58.1</v>
          </cell>
          <cell r="AS93">
            <v>60.6</v>
          </cell>
          <cell r="AT93">
            <v>63.1</v>
          </cell>
          <cell r="AU93">
            <v>65.599999999999994</v>
          </cell>
          <cell r="AV93">
            <v>54.9</v>
          </cell>
          <cell r="AW93">
            <v>57.4</v>
          </cell>
          <cell r="AX93">
            <v>54.2</v>
          </cell>
          <cell r="AY93">
            <v>56.7</v>
          </cell>
          <cell r="AZ93">
            <v>56</v>
          </cell>
          <cell r="BA93">
            <v>58.5</v>
          </cell>
          <cell r="BB93">
            <v>61</v>
          </cell>
          <cell r="BC93">
            <v>63.5</v>
          </cell>
          <cell r="BD93">
            <v>66</v>
          </cell>
          <cell r="BE93">
            <v>12.4</v>
          </cell>
          <cell r="BF93">
            <v>11.4</v>
          </cell>
          <cell r="BG93">
            <v>10.199999999999999</v>
          </cell>
          <cell r="BH93">
            <v>10.3</v>
          </cell>
          <cell r="BI93">
            <v>11.9</v>
          </cell>
          <cell r="BJ93">
            <v>9.3000000000000007</v>
          </cell>
          <cell r="BK93">
            <v>8.3000000000000007</v>
          </cell>
          <cell r="BL93">
            <v>7.2</v>
          </cell>
          <cell r="BM93">
            <v>6.2</v>
          </cell>
          <cell r="BN93" t="str">
            <v>--</v>
          </cell>
          <cell r="BO93" t="str">
            <v>--</v>
          </cell>
          <cell r="BP93" t="str">
            <v>--</v>
          </cell>
          <cell r="BQ93" t="str">
            <v>--</v>
          </cell>
          <cell r="BR93" t="str">
            <v>--</v>
          </cell>
          <cell r="BS93" t="str">
            <v>--</v>
          </cell>
          <cell r="BT93" t="str">
            <v>--</v>
          </cell>
          <cell r="BU93" t="str">
            <v>--</v>
          </cell>
          <cell r="BV93" t="str">
            <v>--</v>
          </cell>
          <cell r="BW93" t="str">
            <v>--</v>
          </cell>
          <cell r="BX93" t="str">
            <v>--</v>
          </cell>
          <cell r="BY93" t="str">
            <v>--</v>
          </cell>
          <cell r="BZ93" t="str">
            <v>--</v>
          </cell>
          <cell r="CA93" t="str">
            <v>--</v>
          </cell>
          <cell r="CB93" t="str">
            <v>--</v>
          </cell>
          <cell r="CC93" t="str">
            <v>--</v>
          </cell>
          <cell r="CD93" t="str">
            <v>--</v>
          </cell>
          <cell r="CE93" t="str">
            <v>--</v>
          </cell>
          <cell r="CF93">
            <v>22.9</v>
          </cell>
          <cell r="CG93">
            <v>20.6</v>
          </cell>
          <cell r="CH93">
            <v>13.5</v>
          </cell>
          <cell r="CI93">
            <v>12.2</v>
          </cell>
          <cell r="CJ93">
            <v>13</v>
          </cell>
          <cell r="CK93">
            <v>11.7</v>
          </cell>
          <cell r="CL93">
            <v>10.5</v>
          </cell>
          <cell r="CM93">
            <v>9.5</v>
          </cell>
          <cell r="CN93">
            <v>8.5</v>
          </cell>
          <cell r="CO93">
            <v>5.7</v>
          </cell>
          <cell r="CP93">
            <v>5.0999999999999996</v>
          </cell>
          <cell r="CQ93">
            <v>8.6</v>
          </cell>
          <cell r="CR93">
            <v>7.7</v>
          </cell>
          <cell r="CS93">
            <v>39.1</v>
          </cell>
          <cell r="CT93">
            <v>35.200000000000003</v>
          </cell>
          <cell r="CU93">
            <v>31.7</v>
          </cell>
          <cell r="CV93">
            <v>28.5</v>
          </cell>
          <cell r="CW93">
            <v>25.7</v>
          </cell>
          <cell r="CX93">
            <v>22.6</v>
          </cell>
          <cell r="CY93">
            <v>20.3</v>
          </cell>
          <cell r="CZ93">
            <v>35.299999999999997</v>
          </cell>
          <cell r="DA93">
            <v>20.3</v>
          </cell>
          <cell r="DB93">
            <v>30.8</v>
          </cell>
          <cell r="DC93" t="str">
            <v>--</v>
          </cell>
          <cell r="DD93" t="str">
            <v>--</v>
          </cell>
          <cell r="DE93" t="str">
            <v>--</v>
          </cell>
          <cell r="DF93" t="str">
            <v>--</v>
          </cell>
          <cell r="DG93">
            <v>0</v>
          </cell>
          <cell r="DH93">
            <v>1</v>
          </cell>
          <cell r="DI93">
            <v>0</v>
          </cell>
          <cell r="DJ93">
            <v>1</v>
          </cell>
          <cell r="DK93">
            <v>0</v>
          </cell>
          <cell r="DL93">
            <v>1</v>
          </cell>
          <cell r="DM93">
            <v>1.1000000000000001</v>
          </cell>
          <cell r="DN93">
            <v>1.2</v>
          </cell>
          <cell r="DO93">
            <v>1.3</v>
          </cell>
          <cell r="DP93">
            <v>25.7</v>
          </cell>
          <cell r="DQ93">
            <v>28.3</v>
          </cell>
          <cell r="DR93">
            <v>11.4</v>
          </cell>
          <cell r="DS93">
            <v>12.5</v>
          </cell>
          <cell r="DT93">
            <v>13</v>
          </cell>
          <cell r="DU93">
            <v>14.3</v>
          </cell>
          <cell r="DV93">
            <v>15.7</v>
          </cell>
          <cell r="DW93">
            <v>17.3</v>
          </cell>
          <cell r="DX93">
            <v>19</v>
          </cell>
          <cell r="DY93">
            <v>0</v>
          </cell>
          <cell r="DZ93">
            <v>1</v>
          </cell>
          <cell r="EA93">
            <v>0</v>
          </cell>
          <cell r="EB93">
            <v>1</v>
          </cell>
          <cell r="EC93">
            <v>7.7</v>
          </cell>
          <cell r="ED93" t="str">
            <v>--</v>
          </cell>
          <cell r="EE93" t="str">
            <v>--</v>
          </cell>
          <cell r="EF93" t="str">
            <v>--</v>
          </cell>
          <cell r="EG93" t="str">
            <v>--</v>
          </cell>
        </row>
        <row r="94">
          <cell r="A94" t="str">
            <v>00350525Multi-race, Non-Hisp./Lat.</v>
          </cell>
          <cell r="B94" t="str">
            <v>00350525M</v>
          </cell>
          <cell r="C94" t="str">
            <v>0035</v>
          </cell>
          <cell r="D94" t="str">
            <v>00350525</v>
          </cell>
          <cell r="E94" t="str">
            <v>Boston</v>
          </cell>
          <cell r="F94" t="str">
            <v>Jeremiah E Burke High</v>
          </cell>
          <cell r="G94" t="str">
            <v>HS</v>
          </cell>
          <cell r="H94" t="str">
            <v>Boston - Jeremiah E Burke High (00350525)</v>
          </cell>
          <cell r="I94" t="str">
            <v>Multi-race, Non-Hisp./Lat.</v>
          </cell>
          <cell r="J94" t="str">
            <v>00350525Multi-race, Non-Hisp./Lat.</v>
          </cell>
          <cell r="K94" t="str">
            <v>Level 4</v>
          </cell>
          <cell r="L94" t="str">
            <v>--</v>
          </cell>
          <cell r="M94" t="str">
            <v>--</v>
          </cell>
          <cell r="N94" t="str">
            <v>--</v>
          </cell>
          <cell r="O94" t="str">
            <v>--</v>
          </cell>
          <cell r="P94" t="str">
            <v>--</v>
          </cell>
          <cell r="Q94" t="str">
            <v>--</v>
          </cell>
          <cell r="R94" t="str">
            <v>--</v>
          </cell>
          <cell r="S94" t="str">
            <v>--</v>
          </cell>
          <cell r="T94" t="str">
            <v>--</v>
          </cell>
          <cell r="U94" t="str">
            <v>--</v>
          </cell>
          <cell r="V94" t="str">
            <v>--</v>
          </cell>
          <cell r="W94" t="str">
            <v>--</v>
          </cell>
          <cell r="X94" t="str">
            <v>--</v>
          </cell>
          <cell r="Y94" t="str">
            <v>--</v>
          </cell>
          <cell r="Z94" t="str">
            <v>--</v>
          </cell>
          <cell r="AA94" t="str">
            <v>--</v>
          </cell>
          <cell r="AB94" t="str">
            <v>--</v>
          </cell>
          <cell r="AC94" t="str">
            <v>--</v>
          </cell>
          <cell r="AD94" t="str">
            <v>--</v>
          </cell>
          <cell r="AE94" t="str">
            <v>--</v>
          </cell>
          <cell r="AF94" t="str">
            <v>--</v>
          </cell>
          <cell r="AG94" t="str">
            <v>--</v>
          </cell>
          <cell r="AH94" t="str">
            <v>--</v>
          </cell>
          <cell r="AI94" t="str">
            <v>--</v>
          </cell>
          <cell r="AJ94" t="str">
            <v>--</v>
          </cell>
          <cell r="AK94" t="str">
            <v>--</v>
          </cell>
          <cell r="AL94" t="str">
            <v>--</v>
          </cell>
          <cell r="AM94" t="str">
            <v>--</v>
          </cell>
          <cell r="AN94" t="str">
            <v>--</v>
          </cell>
          <cell r="AO94" t="str">
            <v>--</v>
          </cell>
          <cell r="AP94" t="str">
            <v>--</v>
          </cell>
          <cell r="AQ94" t="str">
            <v>--</v>
          </cell>
          <cell r="AR94" t="str">
            <v>--</v>
          </cell>
          <cell r="AS94" t="str">
            <v>--</v>
          </cell>
          <cell r="AT94" t="str">
            <v>--</v>
          </cell>
          <cell r="AU94" t="str">
            <v>--</v>
          </cell>
          <cell r="AV94" t="str">
            <v>--</v>
          </cell>
          <cell r="AW94" t="str">
            <v>--</v>
          </cell>
          <cell r="AX94" t="str">
            <v>--</v>
          </cell>
          <cell r="AY94" t="str">
            <v>--</v>
          </cell>
          <cell r="AZ94" t="str">
            <v>--</v>
          </cell>
          <cell r="BA94" t="str">
            <v>--</v>
          </cell>
          <cell r="BB94" t="str">
            <v>--</v>
          </cell>
          <cell r="BC94" t="str">
            <v>--</v>
          </cell>
          <cell r="BD94" t="str">
            <v>--</v>
          </cell>
          <cell r="BE94" t="str">
            <v>--</v>
          </cell>
          <cell r="BF94" t="str">
            <v>--</v>
          </cell>
          <cell r="BG94" t="str">
            <v>--</v>
          </cell>
          <cell r="BH94" t="str">
            <v>--</v>
          </cell>
          <cell r="BI94" t="str">
            <v>--</v>
          </cell>
          <cell r="BJ94" t="str">
            <v>--</v>
          </cell>
          <cell r="BK94" t="str">
            <v>--</v>
          </cell>
          <cell r="BL94" t="str">
            <v>--</v>
          </cell>
          <cell r="BM94" t="str">
            <v>--</v>
          </cell>
          <cell r="BN94" t="str">
            <v>--</v>
          </cell>
          <cell r="BO94" t="str">
            <v>--</v>
          </cell>
          <cell r="BP94" t="str">
            <v>--</v>
          </cell>
          <cell r="BQ94" t="str">
            <v>--</v>
          </cell>
          <cell r="BR94" t="str">
            <v>--</v>
          </cell>
          <cell r="BS94" t="str">
            <v>--</v>
          </cell>
          <cell r="BT94" t="str">
            <v>--</v>
          </cell>
          <cell r="BU94" t="str">
            <v>--</v>
          </cell>
          <cell r="BV94" t="str">
            <v>--</v>
          </cell>
          <cell r="BW94" t="str">
            <v>--</v>
          </cell>
          <cell r="BX94" t="str">
            <v>--</v>
          </cell>
          <cell r="BY94" t="str">
            <v>--</v>
          </cell>
          <cell r="BZ94" t="str">
            <v>--</v>
          </cell>
          <cell r="CA94" t="str">
            <v>--</v>
          </cell>
          <cell r="CB94" t="str">
            <v>--</v>
          </cell>
          <cell r="CC94" t="str">
            <v>--</v>
          </cell>
          <cell r="CD94" t="str">
            <v>--</v>
          </cell>
          <cell r="CE94" t="str">
            <v>--</v>
          </cell>
          <cell r="CF94" t="str">
            <v>--</v>
          </cell>
          <cell r="CG94" t="str">
            <v>--</v>
          </cell>
          <cell r="CH94" t="str">
            <v>--</v>
          </cell>
          <cell r="CI94" t="str">
            <v>--</v>
          </cell>
          <cell r="CJ94" t="str">
            <v>--</v>
          </cell>
          <cell r="CK94" t="str">
            <v>--</v>
          </cell>
          <cell r="CL94" t="str">
            <v>--</v>
          </cell>
          <cell r="CM94" t="str">
            <v>--</v>
          </cell>
          <cell r="CN94" t="str">
            <v>--</v>
          </cell>
          <cell r="CO94" t="str">
            <v>--</v>
          </cell>
          <cell r="CP94" t="str">
            <v>--</v>
          </cell>
          <cell r="CQ94" t="str">
            <v>--</v>
          </cell>
          <cell r="CR94" t="str">
            <v>--</v>
          </cell>
          <cell r="CS94" t="str">
            <v>--</v>
          </cell>
          <cell r="CT94" t="str">
            <v>--</v>
          </cell>
          <cell r="CU94" t="str">
            <v>--</v>
          </cell>
          <cell r="CV94" t="str">
            <v>--</v>
          </cell>
          <cell r="CW94" t="str">
            <v>--</v>
          </cell>
          <cell r="CX94" t="str">
            <v>--</v>
          </cell>
          <cell r="CY94" t="str">
            <v>--</v>
          </cell>
          <cell r="CZ94" t="str">
            <v>--</v>
          </cell>
          <cell r="DA94" t="str">
            <v>--</v>
          </cell>
          <cell r="DB94" t="str">
            <v>--</v>
          </cell>
          <cell r="DC94" t="str">
            <v>--</v>
          </cell>
          <cell r="DD94" t="str">
            <v>--</v>
          </cell>
          <cell r="DE94" t="str">
            <v>--</v>
          </cell>
          <cell r="DF94" t="str">
            <v>--</v>
          </cell>
          <cell r="DG94" t="str">
            <v>--</v>
          </cell>
          <cell r="DH94" t="str">
            <v>--</v>
          </cell>
          <cell r="DI94" t="str">
            <v>--</v>
          </cell>
          <cell r="DJ94" t="str">
            <v>--</v>
          </cell>
          <cell r="DK94" t="str">
            <v>--</v>
          </cell>
          <cell r="DL94" t="str">
            <v>--</v>
          </cell>
          <cell r="DM94" t="str">
            <v>--</v>
          </cell>
          <cell r="DN94" t="str">
            <v>--</v>
          </cell>
          <cell r="DO94" t="str">
            <v>--</v>
          </cell>
          <cell r="DP94" t="str">
            <v>--</v>
          </cell>
          <cell r="DQ94" t="str">
            <v>--</v>
          </cell>
          <cell r="DR94" t="str">
            <v>--</v>
          </cell>
          <cell r="DS94" t="str">
            <v>--</v>
          </cell>
          <cell r="DT94" t="str">
            <v>--</v>
          </cell>
          <cell r="DU94" t="str">
            <v>--</v>
          </cell>
          <cell r="DV94" t="str">
            <v>--</v>
          </cell>
          <cell r="DW94" t="str">
            <v>--</v>
          </cell>
          <cell r="DX94" t="str">
            <v>--</v>
          </cell>
          <cell r="DY94" t="str">
            <v>--</v>
          </cell>
          <cell r="DZ94" t="str">
            <v>--</v>
          </cell>
          <cell r="EA94" t="str">
            <v>--</v>
          </cell>
          <cell r="EB94" t="str">
            <v>--</v>
          </cell>
          <cell r="EC94" t="str">
            <v>--</v>
          </cell>
          <cell r="ED94" t="str">
            <v>--</v>
          </cell>
          <cell r="EE94" t="str">
            <v>--</v>
          </cell>
          <cell r="EF94" t="str">
            <v>--</v>
          </cell>
          <cell r="EG94" t="str">
            <v>--</v>
          </cell>
        </row>
        <row r="95">
          <cell r="A95" t="str">
            <v>00350525Amer. Ind. or Alaska Nat.</v>
          </cell>
          <cell r="B95" t="str">
            <v>00350525N</v>
          </cell>
          <cell r="C95" t="str">
            <v>0035</v>
          </cell>
          <cell r="D95" t="str">
            <v>00350525</v>
          </cell>
          <cell r="E95" t="str">
            <v>Boston</v>
          </cell>
          <cell r="F95" t="str">
            <v>Jeremiah E Burke High</v>
          </cell>
          <cell r="G95" t="str">
            <v>HS</v>
          </cell>
          <cell r="H95" t="str">
            <v>Boston - Jeremiah E Burke High (00350525)</v>
          </cell>
          <cell r="I95" t="str">
            <v>Amer. Ind. or Alaska Nat.</v>
          </cell>
          <cell r="J95" t="str">
            <v>00350525Amer. Ind. or Alaska Nat.</v>
          </cell>
          <cell r="K95" t="str">
            <v>--</v>
          </cell>
          <cell r="L95" t="str">
            <v>--</v>
          </cell>
          <cell r="M95" t="str">
            <v>--</v>
          </cell>
          <cell r="N95" t="str">
            <v>--</v>
          </cell>
          <cell r="O95" t="str">
            <v>--</v>
          </cell>
          <cell r="P95" t="str">
            <v>--</v>
          </cell>
          <cell r="Q95" t="str">
            <v>--</v>
          </cell>
          <cell r="R95" t="str">
            <v>--</v>
          </cell>
          <cell r="S95" t="str">
            <v>--</v>
          </cell>
          <cell r="T95" t="str">
            <v>--</v>
          </cell>
          <cell r="U95" t="str">
            <v>--</v>
          </cell>
          <cell r="V95" t="str">
            <v>--</v>
          </cell>
          <cell r="W95" t="str">
            <v>--</v>
          </cell>
          <cell r="X95" t="str">
            <v>--</v>
          </cell>
          <cell r="Y95" t="str">
            <v>--</v>
          </cell>
          <cell r="Z95" t="str">
            <v>--</v>
          </cell>
          <cell r="AA95" t="str">
            <v>--</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t="str">
            <v>--</v>
          </cell>
          <cell r="AQ95" t="str">
            <v>--</v>
          </cell>
          <cell r="AR95" t="str">
            <v>--</v>
          </cell>
          <cell r="AS95" t="str">
            <v>--</v>
          </cell>
          <cell r="AT95" t="str">
            <v>--</v>
          </cell>
          <cell r="AU95" t="str">
            <v>--</v>
          </cell>
          <cell r="AV95" t="str">
            <v>--</v>
          </cell>
          <cell r="AW95" t="str">
            <v>--</v>
          </cell>
          <cell r="AX95" t="str">
            <v>--</v>
          </cell>
          <cell r="AY95" t="str">
            <v>--</v>
          </cell>
          <cell r="AZ95" t="str">
            <v>--</v>
          </cell>
          <cell r="BA95" t="str">
            <v>--</v>
          </cell>
          <cell r="BB95" t="str">
            <v>--</v>
          </cell>
          <cell r="BC95" t="str">
            <v>--</v>
          </cell>
          <cell r="BD95" t="str">
            <v>--</v>
          </cell>
          <cell r="BE95" t="str">
            <v>--</v>
          </cell>
          <cell r="BF95" t="str">
            <v>--</v>
          </cell>
          <cell r="BG95" t="str">
            <v>--</v>
          </cell>
          <cell r="BH95" t="str">
            <v>--</v>
          </cell>
          <cell r="BI95" t="str">
            <v>--</v>
          </cell>
          <cell r="BJ95" t="str">
            <v>--</v>
          </cell>
          <cell r="BK95" t="str">
            <v>--</v>
          </cell>
          <cell r="BL95" t="str">
            <v>--</v>
          </cell>
          <cell r="BM95" t="str">
            <v>--</v>
          </cell>
          <cell r="BN95" t="str">
            <v>--</v>
          </cell>
          <cell r="BO95" t="str">
            <v>--</v>
          </cell>
          <cell r="BP95" t="str">
            <v>--</v>
          </cell>
          <cell r="BQ95" t="str">
            <v>--</v>
          </cell>
          <cell r="BR95" t="str">
            <v>--</v>
          </cell>
          <cell r="BS95" t="str">
            <v>--</v>
          </cell>
          <cell r="BT95" t="str">
            <v>--</v>
          </cell>
          <cell r="BU95" t="str">
            <v>--</v>
          </cell>
          <cell r="BV95" t="str">
            <v>--</v>
          </cell>
          <cell r="BW95" t="str">
            <v>--</v>
          </cell>
          <cell r="BX95" t="str">
            <v>--</v>
          </cell>
          <cell r="BY95" t="str">
            <v>--</v>
          </cell>
          <cell r="BZ95" t="str">
            <v>--</v>
          </cell>
          <cell r="CA95" t="str">
            <v>--</v>
          </cell>
          <cell r="CB95" t="str">
            <v>--</v>
          </cell>
          <cell r="CC95" t="str">
            <v>--</v>
          </cell>
          <cell r="CD95" t="str">
            <v>--</v>
          </cell>
          <cell r="CE95" t="str">
            <v>--</v>
          </cell>
          <cell r="CF95" t="str">
            <v>--</v>
          </cell>
          <cell r="CG95" t="str">
            <v>--</v>
          </cell>
          <cell r="CH95" t="str">
            <v>--</v>
          </cell>
          <cell r="CI95" t="str">
            <v>--</v>
          </cell>
          <cell r="CJ95" t="str">
            <v>--</v>
          </cell>
          <cell r="CK95" t="str">
            <v>--</v>
          </cell>
          <cell r="CL95" t="str">
            <v>--</v>
          </cell>
          <cell r="CM95" t="str">
            <v>--</v>
          </cell>
          <cell r="CN95" t="str">
            <v>--</v>
          </cell>
          <cell r="CO95" t="str">
            <v>--</v>
          </cell>
          <cell r="CP95" t="str">
            <v>--</v>
          </cell>
          <cell r="CQ95" t="str">
            <v>--</v>
          </cell>
          <cell r="CR95" t="str">
            <v>--</v>
          </cell>
          <cell r="CS95" t="str">
            <v>--</v>
          </cell>
          <cell r="CT95" t="str">
            <v>--</v>
          </cell>
          <cell r="CU95" t="str">
            <v>--</v>
          </cell>
          <cell r="CV95" t="str">
            <v>--</v>
          </cell>
          <cell r="CW95" t="str">
            <v>--</v>
          </cell>
          <cell r="CX95" t="str">
            <v>--</v>
          </cell>
          <cell r="CY95" t="str">
            <v>--</v>
          </cell>
          <cell r="CZ95" t="str">
            <v>--</v>
          </cell>
          <cell r="DA95" t="str">
            <v>--</v>
          </cell>
          <cell r="DB95" t="str">
            <v>--</v>
          </cell>
          <cell r="DC95" t="str">
            <v>--</v>
          </cell>
          <cell r="DD95" t="str">
            <v>--</v>
          </cell>
          <cell r="DE95" t="str">
            <v>--</v>
          </cell>
          <cell r="DF95" t="str">
            <v>--</v>
          </cell>
          <cell r="DG95" t="str">
            <v>--</v>
          </cell>
          <cell r="DH95" t="str">
            <v>--</v>
          </cell>
          <cell r="DI95" t="str">
            <v>--</v>
          </cell>
          <cell r="DJ95" t="str">
            <v>--</v>
          </cell>
          <cell r="DK95" t="str">
            <v>--</v>
          </cell>
          <cell r="DL95" t="str">
            <v>--</v>
          </cell>
          <cell r="DM95" t="str">
            <v>--</v>
          </cell>
          <cell r="DN95" t="str">
            <v>--</v>
          </cell>
          <cell r="DO95" t="str">
            <v>--</v>
          </cell>
          <cell r="DP95" t="str">
            <v>--</v>
          </cell>
          <cell r="DQ95" t="str">
            <v>--</v>
          </cell>
          <cell r="DR95" t="str">
            <v>--</v>
          </cell>
          <cell r="DS95" t="str">
            <v>--</v>
          </cell>
          <cell r="DT95" t="str">
            <v>--</v>
          </cell>
          <cell r="DU95" t="str">
            <v>--</v>
          </cell>
          <cell r="DV95" t="str">
            <v>--</v>
          </cell>
          <cell r="DW95" t="str">
            <v>--</v>
          </cell>
          <cell r="DX95" t="str">
            <v>--</v>
          </cell>
          <cell r="DY95" t="str">
            <v>--</v>
          </cell>
          <cell r="DZ95" t="str">
            <v>--</v>
          </cell>
          <cell r="EA95" t="str">
            <v>--</v>
          </cell>
          <cell r="EB95" t="str">
            <v>--</v>
          </cell>
          <cell r="EC95" t="str">
            <v>--</v>
          </cell>
          <cell r="ED95" t="str">
            <v>--</v>
          </cell>
          <cell r="EE95" t="str">
            <v>--</v>
          </cell>
          <cell r="EF95" t="str">
            <v>--</v>
          </cell>
          <cell r="EG95" t="str">
            <v>--</v>
          </cell>
        </row>
        <row r="96">
          <cell r="A96" t="str">
            <v>00350525Nat. Haw. or Pacif. Isl.</v>
          </cell>
          <cell r="B96" t="str">
            <v>00350525P</v>
          </cell>
          <cell r="C96" t="str">
            <v>0035</v>
          </cell>
          <cell r="D96" t="str">
            <v>00350525</v>
          </cell>
          <cell r="E96" t="str">
            <v>Boston</v>
          </cell>
          <cell r="F96" t="str">
            <v>Jeremiah E Burke High</v>
          </cell>
          <cell r="G96" t="str">
            <v>HS</v>
          </cell>
          <cell r="H96" t="str">
            <v>Boston - Jeremiah E Burke High (00350525)</v>
          </cell>
          <cell r="I96" t="str">
            <v>Nat. Haw. or Pacif. Isl.</v>
          </cell>
          <cell r="J96" t="str">
            <v>00350525Nat. Haw. or Pacif. Isl.</v>
          </cell>
          <cell r="K96" t="str">
            <v>Level 4</v>
          </cell>
          <cell r="L96" t="str">
            <v>--</v>
          </cell>
          <cell r="M96" t="str">
            <v>--</v>
          </cell>
          <cell r="N96" t="str">
            <v>--</v>
          </cell>
          <cell r="O96" t="str">
            <v>--</v>
          </cell>
          <cell r="P96" t="str">
            <v>--</v>
          </cell>
          <cell r="Q96" t="str">
            <v>--</v>
          </cell>
          <cell r="R96" t="str">
            <v>--</v>
          </cell>
          <cell r="S96" t="str">
            <v>--</v>
          </cell>
          <cell r="T96" t="str">
            <v>--</v>
          </cell>
          <cell r="U96" t="str">
            <v>--</v>
          </cell>
          <cell r="V96" t="str">
            <v>--</v>
          </cell>
          <cell r="W96" t="str">
            <v>--</v>
          </cell>
          <cell r="X96" t="str">
            <v>--</v>
          </cell>
          <cell r="Y96" t="str">
            <v>--</v>
          </cell>
          <cell r="Z96" t="str">
            <v>--</v>
          </cell>
          <cell r="AA96" t="str">
            <v>--</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t="str">
            <v>--</v>
          </cell>
          <cell r="AQ96" t="str">
            <v>--</v>
          </cell>
          <cell r="AR96" t="str">
            <v>--</v>
          </cell>
          <cell r="AS96" t="str">
            <v>--</v>
          </cell>
          <cell r="AT96" t="str">
            <v>--</v>
          </cell>
          <cell r="AU96" t="str">
            <v>--</v>
          </cell>
          <cell r="AV96" t="str">
            <v>--</v>
          </cell>
          <cell r="AW96" t="str">
            <v>--</v>
          </cell>
          <cell r="AX96" t="str">
            <v>--</v>
          </cell>
          <cell r="AY96" t="str">
            <v>--</v>
          </cell>
          <cell r="AZ96" t="str">
            <v>--</v>
          </cell>
          <cell r="BA96" t="str">
            <v>--</v>
          </cell>
          <cell r="BB96" t="str">
            <v>--</v>
          </cell>
          <cell r="BC96" t="str">
            <v>--</v>
          </cell>
          <cell r="BD96" t="str">
            <v>--</v>
          </cell>
          <cell r="BE96" t="str">
            <v>--</v>
          </cell>
          <cell r="BF96" t="str">
            <v>--</v>
          </cell>
          <cell r="BG96" t="str">
            <v>--</v>
          </cell>
          <cell r="BH96" t="str">
            <v>--</v>
          </cell>
          <cell r="BI96" t="str">
            <v>--</v>
          </cell>
          <cell r="BJ96" t="str">
            <v>--</v>
          </cell>
          <cell r="BK96" t="str">
            <v>--</v>
          </cell>
          <cell r="BL96" t="str">
            <v>--</v>
          </cell>
          <cell r="BM96" t="str">
            <v>--</v>
          </cell>
          <cell r="BN96" t="str">
            <v>--</v>
          </cell>
          <cell r="BO96" t="str">
            <v>--</v>
          </cell>
          <cell r="BP96" t="str">
            <v>--</v>
          </cell>
          <cell r="BQ96" t="str">
            <v>--</v>
          </cell>
          <cell r="BR96" t="str">
            <v>--</v>
          </cell>
          <cell r="BS96" t="str">
            <v>--</v>
          </cell>
          <cell r="BT96" t="str">
            <v>--</v>
          </cell>
          <cell r="BU96" t="str">
            <v>--</v>
          </cell>
          <cell r="BV96" t="str">
            <v>--</v>
          </cell>
          <cell r="BW96" t="str">
            <v>--</v>
          </cell>
          <cell r="BX96" t="str">
            <v>--</v>
          </cell>
          <cell r="BY96" t="str">
            <v>--</v>
          </cell>
          <cell r="BZ96" t="str">
            <v>--</v>
          </cell>
          <cell r="CA96" t="str">
            <v>--</v>
          </cell>
          <cell r="CB96" t="str">
            <v>--</v>
          </cell>
          <cell r="CC96" t="str">
            <v>--</v>
          </cell>
          <cell r="CD96" t="str">
            <v>--</v>
          </cell>
          <cell r="CE96" t="str">
            <v>--</v>
          </cell>
          <cell r="CF96" t="str">
            <v>--</v>
          </cell>
          <cell r="CG96" t="str">
            <v>--</v>
          </cell>
          <cell r="CH96" t="str">
            <v>--</v>
          </cell>
          <cell r="CI96" t="str">
            <v>--</v>
          </cell>
          <cell r="CJ96" t="str">
            <v>--</v>
          </cell>
          <cell r="CK96" t="str">
            <v>--</v>
          </cell>
          <cell r="CL96" t="str">
            <v>--</v>
          </cell>
          <cell r="CM96" t="str">
            <v>--</v>
          </cell>
          <cell r="CN96" t="str">
            <v>--</v>
          </cell>
          <cell r="CO96" t="str">
            <v>--</v>
          </cell>
          <cell r="CP96" t="str">
            <v>--</v>
          </cell>
          <cell r="CQ96" t="str">
            <v>--</v>
          </cell>
          <cell r="CR96" t="str">
            <v>--</v>
          </cell>
          <cell r="CS96" t="str">
            <v>--</v>
          </cell>
          <cell r="CT96" t="str">
            <v>--</v>
          </cell>
          <cell r="CU96" t="str">
            <v>--</v>
          </cell>
          <cell r="CV96" t="str">
            <v>--</v>
          </cell>
          <cell r="CW96" t="str">
            <v>--</v>
          </cell>
          <cell r="CX96" t="str">
            <v>--</v>
          </cell>
          <cell r="CY96" t="str">
            <v>--</v>
          </cell>
          <cell r="CZ96" t="str">
            <v>--</v>
          </cell>
          <cell r="DA96" t="str">
            <v>--</v>
          </cell>
          <cell r="DB96" t="str">
            <v>--</v>
          </cell>
          <cell r="DC96" t="str">
            <v>--</v>
          </cell>
          <cell r="DD96" t="str">
            <v>--</v>
          </cell>
          <cell r="DE96" t="str">
            <v>--</v>
          </cell>
          <cell r="DF96" t="str">
            <v>--</v>
          </cell>
          <cell r="DG96" t="str">
            <v>--</v>
          </cell>
          <cell r="DH96" t="str">
            <v>--</v>
          </cell>
          <cell r="DI96" t="str">
            <v>--</v>
          </cell>
          <cell r="DJ96" t="str">
            <v>--</v>
          </cell>
          <cell r="DK96" t="str">
            <v>--</v>
          </cell>
          <cell r="DL96" t="str">
            <v>--</v>
          </cell>
          <cell r="DM96" t="str">
            <v>--</v>
          </cell>
          <cell r="DN96" t="str">
            <v>--</v>
          </cell>
          <cell r="DO96" t="str">
            <v>--</v>
          </cell>
          <cell r="DP96" t="str">
            <v>--</v>
          </cell>
          <cell r="DQ96" t="str">
            <v>--</v>
          </cell>
          <cell r="DR96" t="str">
            <v>--</v>
          </cell>
          <cell r="DS96" t="str">
            <v>--</v>
          </cell>
          <cell r="DT96" t="str">
            <v>--</v>
          </cell>
          <cell r="DU96" t="str">
            <v>--</v>
          </cell>
          <cell r="DV96" t="str">
            <v>--</v>
          </cell>
          <cell r="DW96" t="str">
            <v>--</v>
          </cell>
          <cell r="DX96" t="str">
            <v>--</v>
          </cell>
          <cell r="DY96" t="str">
            <v>--</v>
          </cell>
          <cell r="DZ96" t="str">
            <v>--</v>
          </cell>
          <cell r="EA96" t="str">
            <v>--</v>
          </cell>
          <cell r="EB96" t="str">
            <v>--</v>
          </cell>
          <cell r="EC96" t="str">
            <v>--</v>
          </cell>
          <cell r="ED96" t="str">
            <v>--</v>
          </cell>
          <cell r="EE96" t="str">
            <v>--</v>
          </cell>
          <cell r="EF96" t="str">
            <v>--</v>
          </cell>
          <cell r="EG96" t="str">
            <v>--</v>
          </cell>
        </row>
        <row r="97">
          <cell r="A97" t="str">
            <v>00350525High needs</v>
          </cell>
          <cell r="B97" t="str">
            <v>00350525S</v>
          </cell>
          <cell r="C97" t="str">
            <v>0035</v>
          </cell>
          <cell r="D97" t="str">
            <v>00350525</v>
          </cell>
          <cell r="E97" t="str">
            <v>Boston</v>
          </cell>
          <cell r="F97" t="str">
            <v>Jeremiah E Burke High</v>
          </cell>
          <cell r="G97" t="str">
            <v>HS</v>
          </cell>
          <cell r="H97" t="str">
            <v>Boston - Jeremiah E Burke High (00350525)</v>
          </cell>
          <cell r="I97" t="str">
            <v>High needs</v>
          </cell>
          <cell r="J97" t="str">
            <v>00350525High needs</v>
          </cell>
          <cell r="K97" t="str">
            <v>Level 4</v>
          </cell>
          <cell r="L97">
            <v>71.599999999999994</v>
          </cell>
          <cell r="M97">
            <v>74</v>
          </cell>
          <cell r="N97">
            <v>80.2</v>
          </cell>
          <cell r="O97">
            <v>76.3</v>
          </cell>
          <cell r="P97">
            <v>89</v>
          </cell>
          <cell r="Q97">
            <v>78.7</v>
          </cell>
          <cell r="R97">
            <v>81.099999999999994</v>
          </cell>
          <cell r="S97">
            <v>83.4</v>
          </cell>
          <cell r="T97">
            <v>85.8</v>
          </cell>
          <cell r="U97">
            <v>67.3</v>
          </cell>
          <cell r="V97">
            <v>70</v>
          </cell>
          <cell r="W97">
            <v>76.7</v>
          </cell>
          <cell r="X97">
            <v>72.8</v>
          </cell>
          <cell r="Y97">
            <v>71.7</v>
          </cell>
          <cell r="Z97">
            <v>75.5</v>
          </cell>
          <cell r="AA97">
            <v>78.2</v>
          </cell>
          <cell r="AB97">
            <v>80.900000000000006</v>
          </cell>
          <cell r="AC97">
            <v>83.7</v>
          </cell>
          <cell r="AD97">
            <v>50.3</v>
          </cell>
          <cell r="AE97">
            <v>54.4</v>
          </cell>
          <cell r="AF97">
            <v>67.900000000000006</v>
          </cell>
          <cell r="AG97">
            <v>58.6</v>
          </cell>
          <cell r="AH97">
            <v>72.7</v>
          </cell>
          <cell r="AI97">
            <v>62.7</v>
          </cell>
          <cell r="AJ97">
            <v>66.900000000000006</v>
          </cell>
          <cell r="AK97">
            <v>71</v>
          </cell>
          <cell r="AL97">
            <v>75.2</v>
          </cell>
          <cell r="AM97">
            <v>36.799999999999997</v>
          </cell>
          <cell r="AN97">
            <v>39.299999999999997</v>
          </cell>
          <cell r="AO97">
            <v>44.3</v>
          </cell>
          <cell r="AP97">
            <v>46.8</v>
          </cell>
          <cell r="AQ97">
            <v>48</v>
          </cell>
          <cell r="AR97">
            <v>50.5</v>
          </cell>
          <cell r="AS97">
            <v>53</v>
          </cell>
          <cell r="AT97">
            <v>55.5</v>
          </cell>
          <cell r="AU97">
            <v>58</v>
          </cell>
          <cell r="AV97">
            <v>47.9</v>
          </cell>
          <cell r="AW97">
            <v>50.4</v>
          </cell>
          <cell r="AX97">
            <v>46.8</v>
          </cell>
          <cell r="AY97">
            <v>49.3</v>
          </cell>
          <cell r="AZ97">
            <v>50</v>
          </cell>
          <cell r="BA97">
            <v>52.5</v>
          </cell>
          <cell r="BB97">
            <v>55</v>
          </cell>
          <cell r="BC97">
            <v>57.5</v>
          </cell>
          <cell r="BD97">
            <v>60</v>
          </cell>
          <cell r="BE97">
            <v>12.2</v>
          </cell>
          <cell r="BF97">
            <v>11.2</v>
          </cell>
          <cell r="BG97">
            <v>12.3</v>
          </cell>
          <cell r="BH97">
            <v>10.199999999999999</v>
          </cell>
          <cell r="BI97">
            <v>11.8</v>
          </cell>
          <cell r="BJ97">
            <v>9.1999999999999993</v>
          </cell>
          <cell r="BK97">
            <v>8.1</v>
          </cell>
          <cell r="BL97">
            <v>7.1</v>
          </cell>
          <cell r="BM97">
            <v>6.1</v>
          </cell>
          <cell r="BN97">
            <v>31</v>
          </cell>
          <cell r="BO97">
            <v>41</v>
          </cell>
          <cell r="BP97">
            <v>36</v>
          </cell>
          <cell r="BQ97">
            <v>46</v>
          </cell>
          <cell r="BR97">
            <v>49</v>
          </cell>
          <cell r="BS97">
            <v>51</v>
          </cell>
          <cell r="BT97">
            <v>51</v>
          </cell>
          <cell r="BU97">
            <v>51</v>
          </cell>
          <cell r="BV97">
            <v>51</v>
          </cell>
          <cell r="BW97">
            <v>59</v>
          </cell>
          <cell r="BX97">
            <v>51</v>
          </cell>
          <cell r="BY97">
            <v>58</v>
          </cell>
          <cell r="BZ97">
            <v>51</v>
          </cell>
          <cell r="CA97">
            <v>50.5</v>
          </cell>
          <cell r="CB97">
            <v>51</v>
          </cell>
          <cell r="CC97">
            <v>51</v>
          </cell>
          <cell r="CD97">
            <v>51</v>
          </cell>
          <cell r="CE97">
            <v>51</v>
          </cell>
          <cell r="CF97">
            <v>16.2</v>
          </cell>
          <cell r="CG97">
            <v>14.6</v>
          </cell>
          <cell r="CH97">
            <v>5.4</v>
          </cell>
          <cell r="CI97">
            <v>4.9000000000000004</v>
          </cell>
          <cell r="CJ97">
            <v>4.8</v>
          </cell>
          <cell r="CK97">
            <v>4.3</v>
          </cell>
          <cell r="CL97">
            <v>3.9</v>
          </cell>
          <cell r="CM97">
            <v>3.5</v>
          </cell>
          <cell r="CN97">
            <v>3.1</v>
          </cell>
          <cell r="CO97">
            <v>20.399999999999999</v>
          </cell>
          <cell r="CP97">
            <v>18.399999999999999</v>
          </cell>
          <cell r="CQ97">
            <v>13.3</v>
          </cell>
          <cell r="CR97">
            <v>12</v>
          </cell>
          <cell r="CS97">
            <v>19</v>
          </cell>
          <cell r="CT97">
            <v>17.100000000000001</v>
          </cell>
          <cell r="CU97">
            <v>15.4</v>
          </cell>
          <cell r="CV97">
            <v>13.9</v>
          </cell>
          <cell r="CW97">
            <v>12.5</v>
          </cell>
          <cell r="CX97">
            <v>30</v>
          </cell>
          <cell r="CY97">
            <v>27</v>
          </cell>
          <cell r="CZ97">
            <v>10</v>
          </cell>
          <cell r="DA97">
            <v>9</v>
          </cell>
          <cell r="DB97">
            <v>13.6</v>
          </cell>
          <cell r="DC97">
            <v>12.2</v>
          </cell>
          <cell r="DD97">
            <v>11</v>
          </cell>
          <cell r="DE97">
            <v>9.9</v>
          </cell>
          <cell r="DF97">
            <v>8.9</v>
          </cell>
          <cell r="DG97">
            <v>0.9</v>
          </cell>
          <cell r="DH97">
            <v>1</v>
          </cell>
          <cell r="DI97">
            <v>5.4</v>
          </cell>
          <cell r="DJ97">
            <v>5.9</v>
          </cell>
          <cell r="DK97">
            <v>10.7</v>
          </cell>
          <cell r="DL97">
            <v>11.8</v>
          </cell>
          <cell r="DM97">
            <v>12.9</v>
          </cell>
          <cell r="DN97">
            <v>14.2</v>
          </cell>
          <cell r="DO97">
            <v>15.7</v>
          </cell>
          <cell r="DP97">
            <v>8.8000000000000007</v>
          </cell>
          <cell r="DQ97">
            <v>9.6999999999999993</v>
          </cell>
          <cell r="DR97">
            <v>16.7</v>
          </cell>
          <cell r="DS97">
            <v>18.399999999999999</v>
          </cell>
          <cell r="DT97">
            <v>10.7</v>
          </cell>
          <cell r="DU97">
            <v>11.8</v>
          </cell>
          <cell r="DV97">
            <v>12.9</v>
          </cell>
          <cell r="DW97">
            <v>14.2</v>
          </cell>
          <cell r="DX97">
            <v>15.7</v>
          </cell>
          <cell r="DY97">
            <v>0</v>
          </cell>
          <cell r="DZ97">
            <v>1</v>
          </cell>
          <cell r="EA97">
            <v>3.3</v>
          </cell>
          <cell r="EB97">
            <v>3.6</v>
          </cell>
          <cell r="EC97">
            <v>4.5</v>
          </cell>
          <cell r="ED97">
            <v>5</v>
          </cell>
          <cell r="EE97">
            <v>5.4</v>
          </cell>
          <cell r="EF97">
            <v>6</v>
          </cell>
          <cell r="EG97">
            <v>6.6</v>
          </cell>
        </row>
        <row r="98">
          <cell r="A98" t="str">
            <v>00350525All students</v>
          </cell>
          <cell r="B98" t="str">
            <v>00350525T</v>
          </cell>
          <cell r="C98" t="str">
            <v>0035</v>
          </cell>
          <cell r="D98" t="str">
            <v>00350525</v>
          </cell>
          <cell r="E98" t="str">
            <v>Boston</v>
          </cell>
          <cell r="F98" t="str">
            <v>Jeremiah E Burke High</v>
          </cell>
          <cell r="G98" t="str">
            <v>HS</v>
          </cell>
          <cell r="H98" t="str">
            <v>Boston - Jeremiah E Burke High (00350525)</v>
          </cell>
          <cell r="I98" t="str">
            <v>All students</v>
          </cell>
          <cell r="J98" t="str">
            <v>00350525All students</v>
          </cell>
          <cell r="K98" t="str">
            <v>Level 4</v>
          </cell>
          <cell r="L98">
            <v>71.900000000000006</v>
          </cell>
          <cell r="M98">
            <v>74.2</v>
          </cell>
          <cell r="N98">
            <v>80.400000000000006</v>
          </cell>
          <cell r="O98">
            <v>76.599999999999994</v>
          </cell>
          <cell r="P98">
            <v>89.4</v>
          </cell>
          <cell r="Q98">
            <v>78.900000000000006</v>
          </cell>
          <cell r="R98">
            <v>81.3</v>
          </cell>
          <cell r="S98">
            <v>83.6</v>
          </cell>
          <cell r="T98">
            <v>86</v>
          </cell>
          <cell r="U98">
            <v>67.3</v>
          </cell>
          <cell r="V98">
            <v>70</v>
          </cell>
          <cell r="W98">
            <v>76.099999999999994</v>
          </cell>
          <cell r="X98">
            <v>72.8</v>
          </cell>
          <cell r="Y98">
            <v>71.5</v>
          </cell>
          <cell r="Z98">
            <v>75.5</v>
          </cell>
          <cell r="AA98">
            <v>78.2</v>
          </cell>
          <cell r="AB98">
            <v>80.900000000000006</v>
          </cell>
          <cell r="AC98">
            <v>83.7</v>
          </cell>
          <cell r="AD98">
            <v>50.2</v>
          </cell>
          <cell r="AE98">
            <v>54.4</v>
          </cell>
          <cell r="AF98">
            <v>68.400000000000006</v>
          </cell>
          <cell r="AG98">
            <v>58.5</v>
          </cell>
          <cell r="AH98">
            <v>72.599999999999994</v>
          </cell>
          <cell r="AI98">
            <v>62.7</v>
          </cell>
          <cell r="AJ98">
            <v>66.8</v>
          </cell>
          <cell r="AK98">
            <v>71</v>
          </cell>
          <cell r="AL98">
            <v>75.099999999999994</v>
          </cell>
          <cell r="AM98">
            <v>34.299999999999997</v>
          </cell>
          <cell r="AN98">
            <v>36.799999999999997</v>
          </cell>
          <cell r="AO98">
            <v>43.4</v>
          </cell>
          <cell r="AP98">
            <v>45.9</v>
          </cell>
          <cell r="AQ98">
            <v>46.8</v>
          </cell>
          <cell r="AR98">
            <v>49.3</v>
          </cell>
          <cell r="AS98">
            <v>51.8</v>
          </cell>
          <cell r="AT98">
            <v>54.3</v>
          </cell>
          <cell r="AU98">
            <v>56.8</v>
          </cell>
          <cell r="AV98">
            <v>47</v>
          </cell>
          <cell r="AW98">
            <v>49.5</v>
          </cell>
          <cell r="AX98">
            <v>43.9</v>
          </cell>
          <cell r="AY98">
            <v>46.4</v>
          </cell>
          <cell r="AZ98">
            <v>48.8</v>
          </cell>
          <cell r="BA98">
            <v>51.3</v>
          </cell>
          <cell r="BB98">
            <v>53.8</v>
          </cell>
          <cell r="BC98">
            <v>56.3</v>
          </cell>
          <cell r="BD98">
            <v>58.8</v>
          </cell>
          <cell r="BE98">
            <v>14.5</v>
          </cell>
          <cell r="BF98">
            <v>13.3</v>
          </cell>
          <cell r="BG98">
            <v>12.6</v>
          </cell>
          <cell r="BH98">
            <v>12.1</v>
          </cell>
          <cell r="BI98">
            <v>12.6</v>
          </cell>
          <cell r="BJ98">
            <v>10.9</v>
          </cell>
          <cell r="BK98">
            <v>9.6999999999999993</v>
          </cell>
          <cell r="BL98">
            <v>8.5</v>
          </cell>
          <cell r="BM98">
            <v>7.3</v>
          </cell>
          <cell r="BN98">
            <v>30.5</v>
          </cell>
          <cell r="BO98">
            <v>40.5</v>
          </cell>
          <cell r="BP98">
            <v>37</v>
          </cell>
          <cell r="BQ98">
            <v>47</v>
          </cell>
          <cell r="BR98">
            <v>45.5</v>
          </cell>
          <cell r="BS98">
            <v>51</v>
          </cell>
          <cell r="BT98">
            <v>51</v>
          </cell>
          <cell r="BU98">
            <v>51</v>
          </cell>
          <cell r="BV98">
            <v>51</v>
          </cell>
          <cell r="BW98">
            <v>51.5</v>
          </cell>
          <cell r="BX98">
            <v>51</v>
          </cell>
          <cell r="BY98">
            <v>60</v>
          </cell>
          <cell r="BZ98">
            <v>51</v>
          </cell>
          <cell r="CA98">
            <v>48</v>
          </cell>
          <cell r="CB98">
            <v>51</v>
          </cell>
          <cell r="CC98">
            <v>51</v>
          </cell>
          <cell r="CD98">
            <v>51</v>
          </cell>
          <cell r="CE98">
            <v>51</v>
          </cell>
          <cell r="CF98">
            <v>15.6</v>
          </cell>
          <cell r="CG98">
            <v>14</v>
          </cell>
          <cell r="CH98">
            <v>5.2</v>
          </cell>
          <cell r="CI98">
            <v>4.7</v>
          </cell>
          <cell r="CJ98">
            <v>4.3</v>
          </cell>
          <cell r="CK98">
            <v>3.9</v>
          </cell>
          <cell r="CL98">
            <v>3.5</v>
          </cell>
          <cell r="CM98">
            <v>3.1</v>
          </cell>
          <cell r="CN98">
            <v>2.8</v>
          </cell>
          <cell r="CO98">
            <v>20.8</v>
          </cell>
          <cell r="CP98">
            <v>18.7</v>
          </cell>
          <cell r="CQ98">
            <v>12.6</v>
          </cell>
          <cell r="CR98">
            <v>11.3</v>
          </cell>
          <cell r="CS98">
            <v>19.100000000000001</v>
          </cell>
          <cell r="CT98">
            <v>17.2</v>
          </cell>
          <cell r="CU98">
            <v>15.5</v>
          </cell>
          <cell r="CV98">
            <v>13.9</v>
          </cell>
          <cell r="CW98">
            <v>12.5</v>
          </cell>
          <cell r="CX98">
            <v>31.4</v>
          </cell>
          <cell r="CY98">
            <v>28.3</v>
          </cell>
          <cell r="CZ98">
            <v>9.4</v>
          </cell>
          <cell r="DA98">
            <v>8.5</v>
          </cell>
          <cell r="DB98">
            <v>12.3</v>
          </cell>
          <cell r="DC98">
            <v>11.1</v>
          </cell>
          <cell r="DD98">
            <v>10</v>
          </cell>
          <cell r="DE98">
            <v>9</v>
          </cell>
          <cell r="DF98">
            <v>8.1</v>
          </cell>
          <cell r="DG98">
            <v>0.8</v>
          </cell>
          <cell r="DH98">
            <v>0.9</v>
          </cell>
          <cell r="DI98">
            <v>5.2</v>
          </cell>
          <cell r="DJ98">
            <v>5.7</v>
          </cell>
          <cell r="DK98">
            <v>9.6</v>
          </cell>
          <cell r="DL98">
            <v>10.6</v>
          </cell>
          <cell r="DM98">
            <v>11.6</v>
          </cell>
          <cell r="DN98">
            <v>12.8</v>
          </cell>
          <cell r="DO98">
            <v>14.1</v>
          </cell>
          <cell r="DP98">
            <v>7.7</v>
          </cell>
          <cell r="DQ98">
            <v>8.5</v>
          </cell>
          <cell r="DR98">
            <v>15.8</v>
          </cell>
          <cell r="DS98">
            <v>17.399999999999999</v>
          </cell>
          <cell r="DT98">
            <v>9.6</v>
          </cell>
          <cell r="DU98">
            <v>10.6</v>
          </cell>
          <cell r="DV98">
            <v>11.6</v>
          </cell>
          <cell r="DW98">
            <v>12.8</v>
          </cell>
          <cell r="DX98">
            <v>14.1</v>
          </cell>
          <cell r="DY98">
            <v>0</v>
          </cell>
          <cell r="DZ98">
            <v>1</v>
          </cell>
          <cell r="EA98">
            <v>3.1</v>
          </cell>
          <cell r="EB98">
            <v>3.4</v>
          </cell>
          <cell r="EC98">
            <v>4.0999999999999996</v>
          </cell>
          <cell r="ED98">
            <v>4.5</v>
          </cell>
          <cell r="EE98">
            <v>5</v>
          </cell>
          <cell r="EF98">
            <v>5.5</v>
          </cell>
          <cell r="EG98">
            <v>6</v>
          </cell>
        </row>
        <row r="99">
          <cell r="A99" t="str">
            <v>00350535Asian</v>
          </cell>
          <cell r="B99" t="str">
            <v>00350535A</v>
          </cell>
          <cell r="C99" t="str">
            <v>0035</v>
          </cell>
          <cell r="D99" t="str">
            <v>00350535</v>
          </cell>
          <cell r="E99" t="str">
            <v>Boston</v>
          </cell>
          <cell r="F99" t="str">
            <v>The English High</v>
          </cell>
          <cell r="G99" t="str">
            <v>HS</v>
          </cell>
          <cell r="H99" t="str">
            <v>Boston - The English High (00350535)</v>
          </cell>
          <cell r="I99" t="str">
            <v>Asian</v>
          </cell>
          <cell r="J99" t="str">
            <v>00350535Asian</v>
          </cell>
          <cell r="K99" t="str">
            <v>--</v>
          </cell>
          <cell r="L99" t="str">
            <v>--</v>
          </cell>
          <cell r="M99" t="str">
            <v>--</v>
          </cell>
          <cell r="N99" t="str">
            <v>--</v>
          </cell>
          <cell r="O99" t="str">
            <v>--</v>
          </cell>
          <cell r="P99" t="str">
            <v>--</v>
          </cell>
          <cell r="Q99" t="str">
            <v>--</v>
          </cell>
          <cell r="R99" t="str">
            <v>--</v>
          </cell>
          <cell r="S99" t="str">
            <v>--</v>
          </cell>
          <cell r="T99" t="str">
            <v>--</v>
          </cell>
          <cell r="U99" t="str">
            <v>--</v>
          </cell>
          <cell r="V99" t="str">
            <v>--</v>
          </cell>
          <cell r="W99" t="str">
            <v>--</v>
          </cell>
          <cell r="X99" t="str">
            <v>--</v>
          </cell>
          <cell r="Y99" t="str">
            <v>--</v>
          </cell>
          <cell r="Z99" t="str">
            <v>--</v>
          </cell>
          <cell r="AA99" t="str">
            <v>--</v>
          </cell>
          <cell r="AB99" t="str">
            <v>--</v>
          </cell>
          <cell r="AC99" t="str">
            <v>--</v>
          </cell>
          <cell r="AD99" t="str">
            <v>--</v>
          </cell>
          <cell r="AE99" t="str">
            <v>--</v>
          </cell>
          <cell r="AF99" t="str">
            <v>--</v>
          </cell>
          <cell r="AG99" t="str">
            <v>--</v>
          </cell>
          <cell r="AH99" t="str">
            <v>--</v>
          </cell>
          <cell r="AI99" t="str">
            <v>--</v>
          </cell>
          <cell r="AJ99" t="str">
            <v>--</v>
          </cell>
          <cell r="AK99" t="str">
            <v>--</v>
          </cell>
          <cell r="AL99" t="str">
            <v>--</v>
          </cell>
          <cell r="AM99" t="str">
            <v>--</v>
          </cell>
          <cell r="AN99" t="str">
            <v>--</v>
          </cell>
          <cell r="AO99" t="str">
            <v>--</v>
          </cell>
          <cell r="AP99" t="str">
            <v>--</v>
          </cell>
          <cell r="AQ99" t="str">
            <v>--</v>
          </cell>
          <cell r="AR99" t="str">
            <v>--</v>
          </cell>
          <cell r="AS99" t="str">
            <v>--</v>
          </cell>
          <cell r="AT99" t="str">
            <v>--</v>
          </cell>
          <cell r="AU99" t="str">
            <v>--</v>
          </cell>
          <cell r="AV99" t="str">
            <v>--</v>
          </cell>
          <cell r="AW99" t="str">
            <v>--</v>
          </cell>
          <cell r="AX99" t="str">
            <v>--</v>
          </cell>
          <cell r="AY99" t="str">
            <v>--</v>
          </cell>
          <cell r="AZ99" t="str">
            <v>--</v>
          </cell>
          <cell r="BA99" t="str">
            <v>--</v>
          </cell>
          <cell r="BB99" t="str">
            <v>--</v>
          </cell>
          <cell r="BC99" t="str">
            <v>--</v>
          </cell>
          <cell r="BD99" t="str">
            <v>--</v>
          </cell>
          <cell r="BE99" t="str">
            <v>--</v>
          </cell>
          <cell r="BF99" t="str">
            <v>--</v>
          </cell>
          <cell r="BG99" t="str">
            <v>--</v>
          </cell>
          <cell r="BH99" t="str">
            <v>--</v>
          </cell>
          <cell r="BI99" t="str">
            <v>--</v>
          </cell>
          <cell r="BJ99" t="str">
            <v>--</v>
          </cell>
          <cell r="BK99" t="str">
            <v>--</v>
          </cell>
          <cell r="BL99" t="str">
            <v>--</v>
          </cell>
          <cell r="BM99" t="str">
            <v>--</v>
          </cell>
          <cell r="BN99" t="str">
            <v>--</v>
          </cell>
          <cell r="BO99" t="str">
            <v>--</v>
          </cell>
          <cell r="BP99" t="str">
            <v>--</v>
          </cell>
          <cell r="BQ99" t="str">
            <v>--</v>
          </cell>
          <cell r="BR99" t="str">
            <v>--</v>
          </cell>
          <cell r="BS99" t="str">
            <v>--</v>
          </cell>
          <cell r="BT99" t="str">
            <v>--</v>
          </cell>
          <cell r="BU99" t="str">
            <v>--</v>
          </cell>
          <cell r="BV99" t="str">
            <v>--</v>
          </cell>
          <cell r="BW99" t="str">
            <v>--</v>
          </cell>
          <cell r="BX99" t="str">
            <v>--</v>
          </cell>
          <cell r="BY99" t="str">
            <v>--</v>
          </cell>
          <cell r="BZ99" t="str">
            <v>--</v>
          </cell>
          <cell r="CA99" t="str">
            <v>--</v>
          </cell>
          <cell r="CB99" t="str">
            <v>--</v>
          </cell>
          <cell r="CC99" t="str">
            <v>--</v>
          </cell>
          <cell r="CD99" t="str">
            <v>--</v>
          </cell>
          <cell r="CE99" t="str">
            <v>--</v>
          </cell>
          <cell r="CF99" t="str">
            <v>--</v>
          </cell>
          <cell r="CG99" t="str">
            <v>--</v>
          </cell>
          <cell r="CH99" t="str">
            <v>--</v>
          </cell>
          <cell r="CI99" t="str">
            <v>--</v>
          </cell>
          <cell r="CJ99" t="str">
            <v>--</v>
          </cell>
          <cell r="CK99" t="str">
            <v>--</v>
          </cell>
          <cell r="CL99" t="str">
            <v>--</v>
          </cell>
          <cell r="CM99" t="str">
            <v>--</v>
          </cell>
          <cell r="CN99" t="str">
            <v>--</v>
          </cell>
          <cell r="CO99" t="str">
            <v>--</v>
          </cell>
          <cell r="CP99" t="str">
            <v>--</v>
          </cell>
          <cell r="CQ99" t="str">
            <v>--</v>
          </cell>
          <cell r="CR99" t="str">
            <v>--</v>
          </cell>
          <cell r="CS99" t="str">
            <v>--</v>
          </cell>
          <cell r="CT99" t="str">
            <v>--</v>
          </cell>
          <cell r="CU99" t="str">
            <v>--</v>
          </cell>
          <cell r="CV99" t="str">
            <v>--</v>
          </cell>
          <cell r="CW99" t="str">
            <v>--</v>
          </cell>
          <cell r="CX99" t="str">
            <v>--</v>
          </cell>
          <cell r="CY99" t="str">
            <v>--</v>
          </cell>
          <cell r="CZ99" t="str">
            <v>--</v>
          </cell>
          <cell r="DA99" t="str">
            <v>--</v>
          </cell>
          <cell r="DB99" t="str">
            <v>--</v>
          </cell>
          <cell r="DC99" t="str">
            <v>--</v>
          </cell>
          <cell r="DD99" t="str">
            <v>--</v>
          </cell>
          <cell r="DE99" t="str">
            <v>--</v>
          </cell>
          <cell r="DF99" t="str">
            <v>--</v>
          </cell>
          <cell r="DG99" t="str">
            <v>--</v>
          </cell>
          <cell r="DH99" t="str">
            <v>--</v>
          </cell>
          <cell r="DI99" t="str">
            <v>--</v>
          </cell>
          <cell r="DJ99" t="str">
            <v>--</v>
          </cell>
          <cell r="DK99" t="str">
            <v>--</v>
          </cell>
          <cell r="DL99" t="str">
            <v>--</v>
          </cell>
          <cell r="DM99" t="str">
            <v>--</v>
          </cell>
          <cell r="DN99" t="str">
            <v>--</v>
          </cell>
          <cell r="DO99" t="str">
            <v>--</v>
          </cell>
          <cell r="DP99" t="str">
            <v>--</v>
          </cell>
          <cell r="DQ99" t="str">
            <v>--</v>
          </cell>
          <cell r="DR99" t="str">
            <v>--</v>
          </cell>
          <cell r="DS99" t="str">
            <v>--</v>
          </cell>
          <cell r="DT99" t="str">
            <v>--</v>
          </cell>
          <cell r="DU99" t="str">
            <v>--</v>
          </cell>
          <cell r="DV99" t="str">
            <v>--</v>
          </cell>
          <cell r="DW99" t="str">
            <v>--</v>
          </cell>
          <cell r="DX99" t="str">
            <v>--</v>
          </cell>
          <cell r="DY99" t="str">
            <v>--</v>
          </cell>
          <cell r="DZ99" t="str">
            <v>--</v>
          </cell>
          <cell r="EA99" t="str">
            <v>--</v>
          </cell>
          <cell r="EB99" t="str">
            <v>--</v>
          </cell>
          <cell r="EC99" t="str">
            <v>--</v>
          </cell>
          <cell r="ED99" t="str">
            <v>--</v>
          </cell>
          <cell r="EE99" t="str">
            <v>--</v>
          </cell>
          <cell r="EF99" t="str">
            <v>--</v>
          </cell>
          <cell r="EG99" t="str">
            <v>--</v>
          </cell>
        </row>
        <row r="100">
          <cell r="A100" t="str">
            <v>00350535Afr. Amer/Black</v>
          </cell>
          <cell r="B100" t="str">
            <v>00350535B</v>
          </cell>
          <cell r="C100" t="str">
            <v>0035</v>
          </cell>
          <cell r="D100" t="str">
            <v>00350535</v>
          </cell>
          <cell r="E100" t="str">
            <v>Boston</v>
          </cell>
          <cell r="F100" t="str">
            <v>The English High</v>
          </cell>
          <cell r="G100" t="str">
            <v>HS</v>
          </cell>
          <cell r="H100" t="str">
            <v>Boston - The English High (00350535)</v>
          </cell>
          <cell r="I100" t="str">
            <v>Afr. Amer/Black</v>
          </cell>
          <cell r="J100" t="str">
            <v>00350535Afr. Amer/Black</v>
          </cell>
          <cell r="K100" t="str">
            <v>--</v>
          </cell>
          <cell r="L100">
            <v>77.2</v>
          </cell>
          <cell r="M100">
            <v>79.099999999999994</v>
          </cell>
          <cell r="N100">
            <v>78.2</v>
          </cell>
          <cell r="O100">
            <v>81</v>
          </cell>
          <cell r="P100">
            <v>92.4</v>
          </cell>
          <cell r="Q100">
            <v>84.2</v>
          </cell>
          <cell r="R100">
            <v>86.1</v>
          </cell>
          <cell r="S100">
            <v>88</v>
          </cell>
          <cell r="T100">
            <v>89.9</v>
          </cell>
          <cell r="U100">
            <v>67.900000000000006</v>
          </cell>
          <cell r="V100">
            <v>70.599999999999994</v>
          </cell>
          <cell r="W100">
            <v>65.099999999999994</v>
          </cell>
          <cell r="X100">
            <v>73.3</v>
          </cell>
          <cell r="Y100">
            <v>68.900000000000006</v>
          </cell>
          <cell r="Z100">
            <v>77.2</v>
          </cell>
          <cell r="AA100">
            <v>79.900000000000006</v>
          </cell>
          <cell r="AB100">
            <v>82.6</v>
          </cell>
          <cell r="AC100">
            <v>85.3</v>
          </cell>
          <cell r="AD100">
            <v>60.3</v>
          </cell>
          <cell r="AE100">
            <v>63.6</v>
          </cell>
          <cell r="AF100">
            <v>60.6</v>
          </cell>
          <cell r="AG100">
            <v>66.900000000000006</v>
          </cell>
          <cell r="AH100">
            <v>77.8</v>
          </cell>
          <cell r="AI100">
            <v>71.5</v>
          </cell>
          <cell r="AJ100">
            <v>74.8</v>
          </cell>
          <cell r="AK100">
            <v>78.099999999999994</v>
          </cell>
          <cell r="AL100">
            <v>81.5</v>
          </cell>
          <cell r="AM100">
            <v>51.6</v>
          </cell>
          <cell r="AN100">
            <v>54.1</v>
          </cell>
          <cell r="AO100">
            <v>63.5</v>
          </cell>
          <cell r="AP100">
            <v>66</v>
          </cell>
          <cell r="AQ100">
            <v>57.5</v>
          </cell>
          <cell r="AR100">
            <v>60</v>
          </cell>
          <cell r="AS100">
            <v>62.5</v>
          </cell>
          <cell r="AT100">
            <v>65</v>
          </cell>
          <cell r="AU100">
            <v>67.5</v>
          </cell>
          <cell r="AV100">
            <v>66.099999999999994</v>
          </cell>
          <cell r="AW100">
            <v>68.599999999999994</v>
          </cell>
          <cell r="AX100">
            <v>62.4</v>
          </cell>
          <cell r="AY100">
            <v>64.900000000000006</v>
          </cell>
          <cell r="AZ100">
            <v>75</v>
          </cell>
          <cell r="BA100">
            <v>77.5</v>
          </cell>
          <cell r="BB100">
            <v>80</v>
          </cell>
          <cell r="BC100">
            <v>82.5</v>
          </cell>
          <cell r="BD100">
            <v>85</v>
          </cell>
          <cell r="BE100">
            <v>4.8</v>
          </cell>
          <cell r="BF100">
            <v>4.4000000000000004</v>
          </cell>
          <cell r="BG100">
            <v>4.7</v>
          </cell>
          <cell r="BH100">
            <v>4</v>
          </cell>
          <cell r="BI100">
            <v>7.7</v>
          </cell>
          <cell r="BJ100">
            <v>0.6</v>
          </cell>
          <cell r="BK100">
            <v>0.2</v>
          </cell>
          <cell r="BL100">
            <v>0</v>
          </cell>
          <cell r="BM100">
            <v>0</v>
          </cell>
          <cell r="BN100">
            <v>54</v>
          </cell>
          <cell r="BO100">
            <v>51</v>
          </cell>
          <cell r="BP100">
            <v>33</v>
          </cell>
          <cell r="BQ100">
            <v>43</v>
          </cell>
          <cell r="BR100">
            <v>47</v>
          </cell>
          <cell r="BS100">
            <v>60</v>
          </cell>
          <cell r="BT100">
            <v>60</v>
          </cell>
          <cell r="BU100">
            <v>60</v>
          </cell>
          <cell r="BV100">
            <v>60</v>
          </cell>
          <cell r="BW100">
            <v>55.5</v>
          </cell>
          <cell r="BX100">
            <v>51</v>
          </cell>
          <cell r="BY100">
            <v>61</v>
          </cell>
          <cell r="BZ100">
            <v>51</v>
          </cell>
          <cell r="CA100">
            <v>45</v>
          </cell>
          <cell r="CB100">
            <v>59.5</v>
          </cell>
          <cell r="CC100">
            <v>60</v>
          </cell>
          <cell r="CD100">
            <v>60</v>
          </cell>
          <cell r="CE100">
            <v>60</v>
          </cell>
          <cell r="CF100">
            <v>13</v>
          </cell>
          <cell r="CG100">
            <v>11.7</v>
          </cell>
          <cell r="CH100">
            <v>1.8</v>
          </cell>
          <cell r="CI100">
            <v>1.6</v>
          </cell>
          <cell r="CJ100">
            <v>0</v>
          </cell>
          <cell r="CK100">
            <v>0</v>
          </cell>
          <cell r="CL100">
            <v>0</v>
          </cell>
          <cell r="CM100">
            <v>0</v>
          </cell>
          <cell r="CN100">
            <v>0</v>
          </cell>
          <cell r="CO100">
            <v>21.7</v>
          </cell>
          <cell r="CP100">
            <v>19.5</v>
          </cell>
          <cell r="CQ100">
            <v>27.6</v>
          </cell>
          <cell r="CR100">
            <v>24.8</v>
          </cell>
          <cell r="CS100">
            <v>24.3</v>
          </cell>
          <cell r="CT100">
            <v>21.9</v>
          </cell>
          <cell r="CU100">
            <v>19.7</v>
          </cell>
          <cell r="CV100">
            <v>17.7</v>
          </cell>
          <cell r="CW100">
            <v>15.9</v>
          </cell>
          <cell r="CX100">
            <v>17.899999999999999</v>
          </cell>
          <cell r="CY100">
            <v>16.100000000000001</v>
          </cell>
          <cell r="CZ100">
            <v>26.9</v>
          </cell>
          <cell r="DA100">
            <v>24.2</v>
          </cell>
          <cell r="DB100">
            <v>2.8</v>
          </cell>
          <cell r="DC100">
            <v>2.5</v>
          </cell>
          <cell r="DD100">
            <v>2.2999999999999998</v>
          </cell>
          <cell r="DE100">
            <v>2</v>
          </cell>
          <cell r="DF100">
            <v>1.8</v>
          </cell>
          <cell r="DG100">
            <v>4.3</v>
          </cell>
          <cell r="DH100">
            <v>4.7</v>
          </cell>
          <cell r="DI100">
            <v>0</v>
          </cell>
          <cell r="DJ100">
            <v>1</v>
          </cell>
          <cell r="DK100">
            <v>11.1</v>
          </cell>
          <cell r="DL100">
            <v>12.2</v>
          </cell>
          <cell r="DM100">
            <v>13.4</v>
          </cell>
          <cell r="DN100">
            <v>14.8</v>
          </cell>
          <cell r="DO100">
            <v>16.3</v>
          </cell>
          <cell r="DP100">
            <v>13</v>
          </cell>
          <cell r="DQ100">
            <v>14.3</v>
          </cell>
          <cell r="DR100">
            <v>10.3</v>
          </cell>
          <cell r="DS100">
            <v>11.3</v>
          </cell>
          <cell r="DT100">
            <v>13.5</v>
          </cell>
          <cell r="DU100">
            <v>14.9</v>
          </cell>
          <cell r="DV100">
            <v>16.3</v>
          </cell>
          <cell r="DW100">
            <v>18</v>
          </cell>
          <cell r="DX100">
            <v>19.8</v>
          </cell>
          <cell r="DY100">
            <v>0</v>
          </cell>
          <cell r="DZ100">
            <v>1</v>
          </cell>
          <cell r="EA100">
            <v>0</v>
          </cell>
          <cell r="EB100">
            <v>1</v>
          </cell>
          <cell r="EC100">
            <v>2.8</v>
          </cell>
          <cell r="ED100">
            <v>3.1</v>
          </cell>
          <cell r="EE100">
            <v>3.4</v>
          </cell>
          <cell r="EF100">
            <v>3.7</v>
          </cell>
          <cell r="EG100">
            <v>4.0999999999999996</v>
          </cell>
        </row>
        <row r="101">
          <cell r="A101" t="str">
            <v>00350535White</v>
          </cell>
          <cell r="B101" t="str">
            <v>00350535C</v>
          </cell>
          <cell r="C101" t="str">
            <v>0035</v>
          </cell>
          <cell r="D101" t="str">
            <v>00350535</v>
          </cell>
          <cell r="E101" t="str">
            <v>Boston</v>
          </cell>
          <cell r="F101" t="str">
            <v>The English High</v>
          </cell>
          <cell r="G101" t="str">
            <v>HS</v>
          </cell>
          <cell r="H101" t="str">
            <v>Boston - The English High (00350535)</v>
          </cell>
          <cell r="I101" t="str">
            <v>White</v>
          </cell>
          <cell r="J101" t="str">
            <v>00350535White</v>
          </cell>
          <cell r="K101" t="str">
            <v>--</v>
          </cell>
          <cell r="L101" t="str">
            <v>--</v>
          </cell>
          <cell r="M101" t="str">
            <v>--</v>
          </cell>
          <cell r="N101" t="str">
            <v>--</v>
          </cell>
          <cell r="O101" t="str">
            <v>--</v>
          </cell>
          <cell r="P101" t="str">
            <v>--</v>
          </cell>
          <cell r="Q101" t="str">
            <v>--</v>
          </cell>
          <cell r="R101" t="str">
            <v>--</v>
          </cell>
          <cell r="S101" t="str">
            <v>--</v>
          </cell>
          <cell r="T101" t="str">
            <v>--</v>
          </cell>
          <cell r="U101" t="str">
            <v>--</v>
          </cell>
          <cell r="V101" t="str">
            <v>--</v>
          </cell>
          <cell r="W101" t="str">
            <v>--</v>
          </cell>
          <cell r="X101" t="str">
            <v>--</v>
          </cell>
          <cell r="Y101" t="str">
            <v>--</v>
          </cell>
          <cell r="Z101" t="str">
            <v>--</v>
          </cell>
          <cell r="AA101" t="str">
            <v>--</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v>6.7</v>
          </cell>
          <cell r="BF101">
            <v>6.1</v>
          </cell>
          <cell r="BG101">
            <v>10.3</v>
          </cell>
          <cell r="BH101">
            <v>5.6</v>
          </cell>
          <cell r="BI101">
            <v>14.3</v>
          </cell>
          <cell r="BJ101">
            <v>5</v>
          </cell>
          <cell r="BK101">
            <v>4.5</v>
          </cell>
          <cell r="BL101">
            <v>3.9</v>
          </cell>
          <cell r="BM101">
            <v>3.4</v>
          </cell>
          <cell r="BN101" t="str">
            <v>--</v>
          </cell>
          <cell r="BO101" t="str">
            <v>--</v>
          </cell>
          <cell r="BP101" t="str">
            <v>--</v>
          </cell>
          <cell r="BQ101" t="str">
            <v>--</v>
          </cell>
          <cell r="BR101" t="str">
            <v>--</v>
          </cell>
          <cell r="BS101" t="str">
            <v>--</v>
          </cell>
          <cell r="BT101" t="str">
            <v>--</v>
          </cell>
          <cell r="BU101" t="str">
            <v>--</v>
          </cell>
          <cell r="BV101" t="str">
            <v>--</v>
          </cell>
          <cell r="BW101" t="str">
            <v>--</v>
          </cell>
          <cell r="BX101" t="str">
            <v>--</v>
          </cell>
          <cell r="BY101" t="str">
            <v>--</v>
          </cell>
          <cell r="BZ101" t="str">
            <v>--</v>
          </cell>
          <cell r="CA101" t="str">
            <v>--</v>
          </cell>
          <cell r="CB101" t="str">
            <v>--</v>
          </cell>
          <cell r="CC101" t="str">
            <v>--</v>
          </cell>
          <cell r="CD101" t="str">
            <v>--</v>
          </cell>
          <cell r="CE101" t="str">
            <v>--</v>
          </cell>
          <cell r="CF101" t="str">
            <v>--</v>
          </cell>
          <cell r="CG101" t="str">
            <v>--</v>
          </cell>
          <cell r="CH101" t="str">
            <v>--</v>
          </cell>
          <cell r="CI101" t="str">
            <v>--</v>
          </cell>
          <cell r="CJ101" t="str">
            <v>--</v>
          </cell>
          <cell r="CK101" t="str">
            <v>--</v>
          </cell>
          <cell r="CL101" t="str">
            <v>--</v>
          </cell>
          <cell r="CM101" t="str">
            <v>--</v>
          </cell>
          <cell r="CN101" t="str">
            <v>--</v>
          </cell>
          <cell r="CO101" t="str">
            <v>--</v>
          </cell>
          <cell r="CP101" t="str">
            <v>--</v>
          </cell>
          <cell r="CQ101" t="str">
            <v>--</v>
          </cell>
          <cell r="CR101" t="str">
            <v>--</v>
          </cell>
          <cell r="CS101" t="str">
            <v>--</v>
          </cell>
          <cell r="CT101" t="str">
            <v>--</v>
          </cell>
          <cell r="CU101" t="str">
            <v>--</v>
          </cell>
          <cell r="CV101" t="str">
            <v>--</v>
          </cell>
          <cell r="CW101" t="str">
            <v>--</v>
          </cell>
          <cell r="CX101" t="str">
            <v>--</v>
          </cell>
          <cell r="CY101" t="str">
            <v>--</v>
          </cell>
          <cell r="CZ101" t="str">
            <v>--</v>
          </cell>
          <cell r="DA101" t="str">
            <v>--</v>
          </cell>
          <cell r="DB101" t="str">
            <v>--</v>
          </cell>
          <cell r="DC101" t="str">
            <v>--</v>
          </cell>
          <cell r="DD101" t="str">
            <v>--</v>
          </cell>
          <cell r="DE101" t="str">
            <v>--</v>
          </cell>
          <cell r="DF101" t="str">
            <v>--</v>
          </cell>
          <cell r="DG101" t="str">
            <v>--</v>
          </cell>
          <cell r="DH101" t="str">
            <v>--</v>
          </cell>
          <cell r="DI101" t="str">
            <v>--</v>
          </cell>
          <cell r="DJ101" t="str">
            <v>--</v>
          </cell>
          <cell r="DK101" t="str">
            <v>--</v>
          </cell>
          <cell r="DL101" t="str">
            <v>--</v>
          </cell>
          <cell r="DM101" t="str">
            <v>--</v>
          </cell>
          <cell r="DN101" t="str">
            <v>--</v>
          </cell>
          <cell r="DO101" t="str">
            <v>--</v>
          </cell>
          <cell r="DP101" t="str">
            <v>--</v>
          </cell>
          <cell r="DQ101" t="str">
            <v>--</v>
          </cell>
          <cell r="DR101" t="str">
            <v>--</v>
          </cell>
          <cell r="DS101" t="str">
            <v>--</v>
          </cell>
          <cell r="DT101" t="str">
            <v>--</v>
          </cell>
          <cell r="DU101" t="str">
            <v>--</v>
          </cell>
          <cell r="DV101" t="str">
            <v>--</v>
          </cell>
          <cell r="DW101" t="str">
            <v>--</v>
          </cell>
          <cell r="DX101" t="str">
            <v>--</v>
          </cell>
          <cell r="DY101" t="str">
            <v>--</v>
          </cell>
          <cell r="DZ101" t="str">
            <v>--</v>
          </cell>
          <cell r="EA101" t="str">
            <v>--</v>
          </cell>
          <cell r="EB101" t="str">
            <v>--</v>
          </cell>
          <cell r="EC101" t="str">
            <v>--</v>
          </cell>
          <cell r="ED101" t="str">
            <v>--</v>
          </cell>
          <cell r="EE101" t="str">
            <v>--</v>
          </cell>
          <cell r="EF101" t="str">
            <v>--</v>
          </cell>
          <cell r="EG101" t="str">
            <v>--</v>
          </cell>
        </row>
        <row r="102">
          <cell r="A102" t="str">
            <v>00350535Students w/disabilities</v>
          </cell>
          <cell r="B102" t="str">
            <v>00350535D</v>
          </cell>
          <cell r="C102" t="str">
            <v>0035</v>
          </cell>
          <cell r="D102" t="str">
            <v>00350535</v>
          </cell>
          <cell r="E102" t="str">
            <v>Boston</v>
          </cell>
          <cell r="F102" t="str">
            <v>The English High</v>
          </cell>
          <cell r="G102" t="str">
            <v>HS</v>
          </cell>
          <cell r="H102" t="str">
            <v>Boston - The English High (00350535)</v>
          </cell>
          <cell r="I102" t="str">
            <v>Students w/disabilities</v>
          </cell>
          <cell r="J102" t="str">
            <v>00350535Students w/disabilities</v>
          </cell>
          <cell r="K102" t="str">
            <v>--</v>
          </cell>
          <cell r="L102">
            <v>67.2</v>
          </cell>
          <cell r="M102">
            <v>69.900000000000006</v>
          </cell>
          <cell r="N102">
            <v>70.099999999999994</v>
          </cell>
          <cell r="O102">
            <v>72.7</v>
          </cell>
          <cell r="P102">
            <v>82.4</v>
          </cell>
          <cell r="Q102">
            <v>75.400000000000006</v>
          </cell>
          <cell r="R102">
            <v>78.099999999999994</v>
          </cell>
          <cell r="S102">
            <v>80.900000000000006</v>
          </cell>
          <cell r="T102">
            <v>83.6</v>
          </cell>
          <cell r="U102">
            <v>44.8</v>
          </cell>
          <cell r="V102">
            <v>49.4</v>
          </cell>
          <cell r="W102">
            <v>57.8</v>
          </cell>
          <cell r="X102">
            <v>54</v>
          </cell>
          <cell r="Y102">
            <v>60.5</v>
          </cell>
          <cell r="Z102">
            <v>58.6</v>
          </cell>
          <cell r="AA102">
            <v>63.2</v>
          </cell>
          <cell r="AB102">
            <v>67.8</v>
          </cell>
          <cell r="AC102">
            <v>72.400000000000006</v>
          </cell>
          <cell r="AD102">
            <v>47.1</v>
          </cell>
          <cell r="AE102">
            <v>51.5</v>
          </cell>
          <cell r="AF102">
            <v>50.6</v>
          </cell>
          <cell r="AG102">
            <v>55.9</v>
          </cell>
          <cell r="AH102">
            <v>70.599999999999994</v>
          </cell>
          <cell r="AI102">
            <v>60.3</v>
          </cell>
          <cell r="AJ102">
            <v>64.7</v>
          </cell>
          <cell r="AK102">
            <v>69.099999999999994</v>
          </cell>
          <cell r="AL102">
            <v>73.599999999999994</v>
          </cell>
          <cell r="AM102">
            <v>33.299999999999997</v>
          </cell>
          <cell r="AN102">
            <v>35.799999999999997</v>
          </cell>
          <cell r="AO102">
            <v>23.8</v>
          </cell>
          <cell r="AP102">
            <v>35.799999999999997</v>
          </cell>
          <cell r="AQ102">
            <v>27.3</v>
          </cell>
          <cell r="AR102">
            <v>29.8</v>
          </cell>
          <cell r="AS102">
            <v>32.299999999999997</v>
          </cell>
          <cell r="AT102">
            <v>34.799999999999997</v>
          </cell>
          <cell r="AU102">
            <v>37.299999999999997</v>
          </cell>
          <cell r="AV102">
            <v>61.1</v>
          </cell>
          <cell r="AW102">
            <v>63.6</v>
          </cell>
          <cell r="AX102">
            <v>50</v>
          </cell>
          <cell r="AY102">
            <v>52.5</v>
          </cell>
          <cell r="AZ102">
            <v>42.9</v>
          </cell>
          <cell r="BA102">
            <v>52.5</v>
          </cell>
          <cell r="BB102">
            <v>55</v>
          </cell>
          <cell r="BC102">
            <v>57.5</v>
          </cell>
          <cell r="BD102">
            <v>60</v>
          </cell>
          <cell r="BE102">
            <v>4</v>
          </cell>
          <cell r="BF102">
            <v>3.7</v>
          </cell>
          <cell r="BG102">
            <v>5.3</v>
          </cell>
          <cell r="BH102">
            <v>3.3</v>
          </cell>
          <cell r="BI102">
            <v>1.2</v>
          </cell>
          <cell r="BJ102">
            <v>3</v>
          </cell>
          <cell r="BK102">
            <v>2.7</v>
          </cell>
          <cell r="BL102">
            <v>2.2999999999999998</v>
          </cell>
          <cell r="BM102">
            <v>2</v>
          </cell>
          <cell r="BN102" t="str">
            <v>--</v>
          </cell>
          <cell r="BO102" t="str">
            <v>--</v>
          </cell>
          <cell r="BP102" t="str">
            <v>--</v>
          </cell>
          <cell r="BQ102" t="str">
            <v>--</v>
          </cell>
          <cell r="BR102" t="str">
            <v>--</v>
          </cell>
          <cell r="BS102" t="str">
            <v>--</v>
          </cell>
          <cell r="BT102" t="str">
            <v>--</v>
          </cell>
          <cell r="BU102" t="str">
            <v>--</v>
          </cell>
          <cell r="BV102" t="str">
            <v>--</v>
          </cell>
          <cell r="BW102" t="str">
            <v>--</v>
          </cell>
          <cell r="BX102" t="str">
            <v>--</v>
          </cell>
          <cell r="BY102" t="str">
            <v>--</v>
          </cell>
          <cell r="BZ102" t="str">
            <v>--</v>
          </cell>
          <cell r="CA102" t="str">
            <v>--</v>
          </cell>
          <cell r="CB102" t="str">
            <v>--</v>
          </cell>
          <cell r="CC102" t="str">
            <v>--</v>
          </cell>
          <cell r="CD102" t="str">
            <v>--</v>
          </cell>
          <cell r="CE102" t="str">
            <v>--</v>
          </cell>
          <cell r="CF102">
            <v>13.8</v>
          </cell>
          <cell r="CG102">
            <v>12.4</v>
          </cell>
          <cell r="CH102">
            <v>10.9</v>
          </cell>
          <cell r="CI102">
            <v>9.8000000000000007</v>
          </cell>
          <cell r="CJ102">
            <v>5.9</v>
          </cell>
          <cell r="CK102">
            <v>9.8000000000000007</v>
          </cell>
          <cell r="CL102">
            <v>8.8000000000000007</v>
          </cell>
          <cell r="CM102">
            <v>7.9</v>
          </cell>
          <cell r="CN102">
            <v>7.2</v>
          </cell>
          <cell r="CO102">
            <v>51.7</v>
          </cell>
          <cell r="CP102">
            <v>46.5</v>
          </cell>
          <cell r="CQ102">
            <v>37.799999999999997</v>
          </cell>
          <cell r="CR102">
            <v>34</v>
          </cell>
          <cell r="CS102">
            <v>42.1</v>
          </cell>
          <cell r="CT102">
            <v>34</v>
          </cell>
          <cell r="CU102">
            <v>30.6</v>
          </cell>
          <cell r="CV102">
            <v>27.6</v>
          </cell>
          <cell r="CW102">
            <v>24.8</v>
          </cell>
          <cell r="CX102">
            <v>30.8</v>
          </cell>
          <cell r="CY102">
            <v>27.7</v>
          </cell>
          <cell r="CZ102">
            <v>40</v>
          </cell>
          <cell r="DA102">
            <v>36</v>
          </cell>
          <cell r="DB102">
            <v>0</v>
          </cell>
          <cell r="DC102">
            <v>36</v>
          </cell>
          <cell r="DD102">
            <v>32.4</v>
          </cell>
          <cell r="DE102">
            <v>29.2</v>
          </cell>
          <cell r="DF102">
            <v>26.2</v>
          </cell>
          <cell r="DG102">
            <v>0</v>
          </cell>
          <cell r="DH102">
            <v>1</v>
          </cell>
          <cell r="DI102">
            <v>0</v>
          </cell>
          <cell r="DJ102">
            <v>1</v>
          </cell>
          <cell r="DK102">
            <v>5.9</v>
          </cell>
          <cell r="DL102">
            <v>1</v>
          </cell>
          <cell r="DM102">
            <v>1.1000000000000001</v>
          </cell>
          <cell r="DN102">
            <v>1.2</v>
          </cell>
          <cell r="DO102">
            <v>1.3</v>
          </cell>
          <cell r="DP102">
            <v>3.4</v>
          </cell>
          <cell r="DQ102">
            <v>3.7</v>
          </cell>
          <cell r="DR102">
            <v>4.4000000000000004</v>
          </cell>
          <cell r="DS102">
            <v>4.8</v>
          </cell>
          <cell r="DT102">
            <v>5.3</v>
          </cell>
          <cell r="DU102">
            <v>4.8</v>
          </cell>
          <cell r="DV102">
            <v>5.3</v>
          </cell>
          <cell r="DW102">
            <v>5.9</v>
          </cell>
          <cell r="DX102">
            <v>6.4</v>
          </cell>
          <cell r="DY102">
            <v>0</v>
          </cell>
          <cell r="DZ102">
            <v>1</v>
          </cell>
          <cell r="EA102">
            <v>0</v>
          </cell>
          <cell r="EB102">
            <v>1</v>
          </cell>
          <cell r="EC102">
            <v>0</v>
          </cell>
          <cell r="ED102">
            <v>1</v>
          </cell>
          <cell r="EE102">
            <v>1.1000000000000001</v>
          </cell>
          <cell r="EF102">
            <v>1.2</v>
          </cell>
          <cell r="EG102">
            <v>1.3</v>
          </cell>
        </row>
        <row r="103">
          <cell r="A103" t="str">
            <v>00350535Low income</v>
          </cell>
          <cell r="B103" t="str">
            <v>00350535F</v>
          </cell>
          <cell r="C103" t="str">
            <v>0035</v>
          </cell>
          <cell r="D103" t="str">
            <v>00350535</v>
          </cell>
          <cell r="E103" t="str">
            <v>Boston</v>
          </cell>
          <cell r="F103" t="str">
            <v>The English High</v>
          </cell>
          <cell r="G103" t="str">
            <v>HS</v>
          </cell>
          <cell r="H103" t="str">
            <v>Boston - The English High (00350535)</v>
          </cell>
          <cell r="I103" t="str">
            <v>Low income</v>
          </cell>
          <cell r="J103" t="str">
            <v>00350535Low income</v>
          </cell>
          <cell r="K103" t="str">
            <v>--</v>
          </cell>
          <cell r="L103">
            <v>73.8</v>
          </cell>
          <cell r="M103">
            <v>76</v>
          </cell>
          <cell r="N103">
            <v>76.8</v>
          </cell>
          <cell r="O103">
            <v>78.2</v>
          </cell>
          <cell r="P103">
            <v>82.2</v>
          </cell>
          <cell r="Q103">
            <v>81.7</v>
          </cell>
          <cell r="R103">
            <v>83.8</v>
          </cell>
          <cell r="S103">
            <v>86</v>
          </cell>
          <cell r="T103">
            <v>88.2</v>
          </cell>
          <cell r="U103">
            <v>65.400000000000006</v>
          </cell>
          <cell r="V103">
            <v>68.3</v>
          </cell>
          <cell r="W103">
            <v>62.5</v>
          </cell>
          <cell r="X103">
            <v>71.2</v>
          </cell>
          <cell r="Y103">
            <v>64.400000000000006</v>
          </cell>
          <cell r="Z103">
            <v>75.400000000000006</v>
          </cell>
          <cell r="AA103">
            <v>78.2</v>
          </cell>
          <cell r="AB103">
            <v>81.099999999999994</v>
          </cell>
          <cell r="AC103">
            <v>84</v>
          </cell>
          <cell r="AD103">
            <v>60.3</v>
          </cell>
          <cell r="AE103">
            <v>63.6</v>
          </cell>
          <cell r="AF103">
            <v>57.4</v>
          </cell>
          <cell r="AG103">
            <v>66.900000000000006</v>
          </cell>
          <cell r="AH103">
            <v>73.3</v>
          </cell>
          <cell r="AI103">
            <v>71.5</v>
          </cell>
          <cell r="AJ103">
            <v>74.8</v>
          </cell>
          <cell r="AK103">
            <v>78.099999999999994</v>
          </cell>
          <cell r="AL103">
            <v>81.5</v>
          </cell>
          <cell r="AM103">
            <v>63.1</v>
          </cell>
          <cell r="AN103">
            <v>65.599999999999994</v>
          </cell>
          <cell r="AO103">
            <v>49.6</v>
          </cell>
          <cell r="AP103">
            <v>52.1</v>
          </cell>
          <cell r="AQ103">
            <v>52.2</v>
          </cell>
          <cell r="AR103">
            <v>54.7</v>
          </cell>
          <cell r="AS103">
            <v>57.2</v>
          </cell>
          <cell r="AT103">
            <v>59.7</v>
          </cell>
          <cell r="AU103">
            <v>62.2</v>
          </cell>
          <cell r="AV103">
            <v>65.099999999999994</v>
          </cell>
          <cell r="AW103">
            <v>67.599999999999994</v>
          </cell>
          <cell r="AX103">
            <v>71.599999999999994</v>
          </cell>
          <cell r="AY103">
            <v>74.099999999999994</v>
          </cell>
          <cell r="AZ103">
            <v>63.4</v>
          </cell>
          <cell r="BA103">
            <v>65.900000000000006</v>
          </cell>
          <cell r="BB103">
            <v>68.400000000000006</v>
          </cell>
          <cell r="BC103">
            <v>70.900000000000006</v>
          </cell>
          <cell r="BD103">
            <v>73.400000000000006</v>
          </cell>
          <cell r="BE103">
            <v>4.0999999999999996</v>
          </cell>
          <cell r="BF103">
            <v>3.8</v>
          </cell>
          <cell r="BG103">
            <v>4.5</v>
          </cell>
          <cell r="BH103">
            <v>3.4</v>
          </cell>
          <cell r="BI103">
            <v>4.7</v>
          </cell>
          <cell r="BJ103">
            <v>0.1</v>
          </cell>
          <cell r="BK103">
            <v>0</v>
          </cell>
          <cell r="BL103">
            <v>0</v>
          </cell>
          <cell r="BM103">
            <v>0</v>
          </cell>
          <cell r="BN103">
            <v>44</v>
          </cell>
          <cell r="BO103">
            <v>51</v>
          </cell>
          <cell r="BP103">
            <v>32</v>
          </cell>
          <cell r="BQ103">
            <v>42</v>
          </cell>
          <cell r="BR103">
            <v>42</v>
          </cell>
          <cell r="BS103">
            <v>56.5</v>
          </cell>
          <cell r="BT103">
            <v>60</v>
          </cell>
          <cell r="BU103">
            <v>60</v>
          </cell>
          <cell r="BV103">
            <v>60</v>
          </cell>
          <cell r="BW103">
            <v>40</v>
          </cell>
          <cell r="BX103">
            <v>50</v>
          </cell>
          <cell r="BY103">
            <v>67</v>
          </cell>
          <cell r="BZ103">
            <v>51</v>
          </cell>
          <cell r="CA103">
            <v>57</v>
          </cell>
          <cell r="CB103">
            <v>60</v>
          </cell>
          <cell r="CC103">
            <v>60</v>
          </cell>
          <cell r="CD103">
            <v>60</v>
          </cell>
          <cell r="CE103">
            <v>60</v>
          </cell>
          <cell r="CF103">
            <v>15.1</v>
          </cell>
          <cell r="CG103">
            <v>13.6</v>
          </cell>
          <cell r="CH103">
            <v>4.8</v>
          </cell>
          <cell r="CI103">
            <v>4.3</v>
          </cell>
          <cell r="CJ103">
            <v>4.5</v>
          </cell>
          <cell r="CK103">
            <v>4.0999999999999996</v>
          </cell>
          <cell r="CL103">
            <v>3.6</v>
          </cell>
          <cell r="CM103">
            <v>3.3</v>
          </cell>
          <cell r="CN103">
            <v>3</v>
          </cell>
          <cell r="CO103">
            <v>29.1</v>
          </cell>
          <cell r="CP103">
            <v>26.2</v>
          </cell>
          <cell r="CQ103">
            <v>33.299999999999997</v>
          </cell>
          <cell r="CR103">
            <v>30</v>
          </cell>
          <cell r="CS103">
            <v>36.4</v>
          </cell>
          <cell r="CT103">
            <v>32.799999999999997</v>
          </cell>
          <cell r="CU103">
            <v>29.5</v>
          </cell>
          <cell r="CV103">
            <v>26.5</v>
          </cell>
          <cell r="CW103">
            <v>23.9</v>
          </cell>
          <cell r="CX103">
            <v>26</v>
          </cell>
          <cell r="CY103">
            <v>23.4</v>
          </cell>
          <cell r="CZ103">
            <v>28.1</v>
          </cell>
          <cell r="DA103">
            <v>25.3</v>
          </cell>
          <cell r="DB103">
            <v>5</v>
          </cell>
          <cell r="DC103">
            <v>4.5</v>
          </cell>
          <cell r="DD103">
            <v>4.0999999999999996</v>
          </cell>
          <cell r="DE103">
            <v>3.6</v>
          </cell>
          <cell r="DF103">
            <v>3.3</v>
          </cell>
          <cell r="DG103">
            <v>4.7</v>
          </cell>
          <cell r="DH103">
            <v>5.2</v>
          </cell>
          <cell r="DI103">
            <v>0</v>
          </cell>
          <cell r="DJ103">
            <v>1</v>
          </cell>
          <cell r="DK103">
            <v>7.6</v>
          </cell>
          <cell r="DL103">
            <v>8.4</v>
          </cell>
          <cell r="DM103">
            <v>9.1999999999999993</v>
          </cell>
          <cell r="DN103">
            <v>10.1</v>
          </cell>
          <cell r="DO103">
            <v>11.1</v>
          </cell>
          <cell r="DP103">
            <v>17.399999999999999</v>
          </cell>
          <cell r="DQ103">
            <v>19.100000000000001</v>
          </cell>
          <cell r="DR103">
            <v>9.8000000000000007</v>
          </cell>
          <cell r="DS103">
            <v>10.8</v>
          </cell>
          <cell r="DT103">
            <v>12.1</v>
          </cell>
          <cell r="DU103">
            <v>13.3</v>
          </cell>
          <cell r="DV103">
            <v>14.6</v>
          </cell>
          <cell r="DW103">
            <v>16.100000000000001</v>
          </cell>
          <cell r="DX103">
            <v>17.7</v>
          </cell>
          <cell r="DY103">
            <v>2.7</v>
          </cell>
          <cell r="DZ103">
            <v>3</v>
          </cell>
          <cell r="EA103">
            <v>0.8</v>
          </cell>
          <cell r="EB103">
            <v>0.9</v>
          </cell>
          <cell r="EC103">
            <v>1.7</v>
          </cell>
          <cell r="ED103">
            <v>1.9</v>
          </cell>
          <cell r="EE103">
            <v>2.1</v>
          </cell>
          <cell r="EF103">
            <v>2.2999999999999998</v>
          </cell>
          <cell r="EG103">
            <v>2.5</v>
          </cell>
        </row>
        <row r="104">
          <cell r="A104" t="str">
            <v>00350535Hispanic/Latino</v>
          </cell>
          <cell r="B104" t="str">
            <v>00350535H</v>
          </cell>
          <cell r="C104" t="str">
            <v>0035</v>
          </cell>
          <cell r="D104" t="str">
            <v>00350535</v>
          </cell>
          <cell r="E104" t="str">
            <v>Boston</v>
          </cell>
          <cell r="F104" t="str">
            <v>The English High</v>
          </cell>
          <cell r="G104" t="str">
            <v>HS</v>
          </cell>
          <cell r="H104" t="str">
            <v>Boston - The English High (00350535)</v>
          </cell>
          <cell r="I104" t="str">
            <v>Hispanic/Latino</v>
          </cell>
          <cell r="J104" t="str">
            <v>00350535Hispanic/Latino</v>
          </cell>
          <cell r="K104" t="str">
            <v>--</v>
          </cell>
          <cell r="L104">
            <v>73.5</v>
          </cell>
          <cell r="M104">
            <v>75.7</v>
          </cell>
          <cell r="N104">
            <v>76</v>
          </cell>
          <cell r="O104">
            <v>77.900000000000006</v>
          </cell>
          <cell r="P104">
            <v>72.2</v>
          </cell>
          <cell r="Q104">
            <v>81.400000000000006</v>
          </cell>
          <cell r="R104">
            <v>83.6</v>
          </cell>
          <cell r="S104">
            <v>85.8</v>
          </cell>
          <cell r="T104">
            <v>88.1</v>
          </cell>
          <cell r="U104">
            <v>60.8</v>
          </cell>
          <cell r="V104">
            <v>64.099999999999994</v>
          </cell>
          <cell r="W104">
            <v>62.7</v>
          </cell>
          <cell r="X104">
            <v>67.3</v>
          </cell>
          <cell r="Y104">
            <v>57.1</v>
          </cell>
          <cell r="Z104">
            <v>71.900000000000006</v>
          </cell>
          <cell r="AA104">
            <v>75.2</v>
          </cell>
          <cell r="AB104">
            <v>78.400000000000006</v>
          </cell>
          <cell r="AC104">
            <v>81.7</v>
          </cell>
          <cell r="AD104">
            <v>59.1</v>
          </cell>
          <cell r="AE104">
            <v>62.5</v>
          </cell>
          <cell r="AF104">
            <v>57.9</v>
          </cell>
          <cell r="AG104">
            <v>65.900000000000006</v>
          </cell>
          <cell r="AH104">
            <v>64.2</v>
          </cell>
          <cell r="AI104">
            <v>70.599999999999994</v>
          </cell>
          <cell r="AJ104">
            <v>74</v>
          </cell>
          <cell r="AK104">
            <v>77.400000000000006</v>
          </cell>
          <cell r="AL104">
            <v>80.900000000000006</v>
          </cell>
          <cell r="AM104">
            <v>65.599999999999994</v>
          </cell>
          <cell r="AN104">
            <v>68.099999999999994</v>
          </cell>
          <cell r="AO104">
            <v>43.2</v>
          </cell>
          <cell r="AP104">
            <v>45.7</v>
          </cell>
          <cell r="AQ104">
            <v>44.7</v>
          </cell>
          <cell r="AR104">
            <v>47.2</v>
          </cell>
          <cell r="AS104">
            <v>49.7</v>
          </cell>
          <cell r="AT104">
            <v>52.2</v>
          </cell>
          <cell r="AU104">
            <v>54.7</v>
          </cell>
          <cell r="AV104">
            <v>57.9</v>
          </cell>
          <cell r="AW104">
            <v>60.4</v>
          </cell>
          <cell r="AX104">
            <v>74</v>
          </cell>
          <cell r="AY104">
            <v>76.5</v>
          </cell>
          <cell r="AZ104">
            <v>58</v>
          </cell>
          <cell r="BA104">
            <v>60.5</v>
          </cell>
          <cell r="BB104">
            <v>63</v>
          </cell>
          <cell r="BC104">
            <v>65.5</v>
          </cell>
          <cell r="BD104">
            <v>68</v>
          </cell>
          <cell r="BE104">
            <v>5.9</v>
          </cell>
          <cell r="BF104">
            <v>5.4</v>
          </cell>
          <cell r="BG104">
            <v>6.1</v>
          </cell>
          <cell r="BH104">
            <v>4.9000000000000004</v>
          </cell>
          <cell r="BI104">
            <v>5.9</v>
          </cell>
          <cell r="BJ104">
            <v>1.4</v>
          </cell>
          <cell r="BK104">
            <v>0.9</v>
          </cell>
          <cell r="BL104">
            <v>0.4</v>
          </cell>
          <cell r="BM104">
            <v>0</v>
          </cell>
          <cell r="BN104">
            <v>43</v>
          </cell>
          <cell r="BO104">
            <v>51</v>
          </cell>
          <cell r="BP104">
            <v>30</v>
          </cell>
          <cell r="BQ104">
            <v>40</v>
          </cell>
          <cell r="BR104" t="str">
            <v>--</v>
          </cell>
          <cell r="BS104">
            <v>44.5</v>
          </cell>
          <cell r="BT104">
            <v>59</v>
          </cell>
          <cell r="BU104">
            <v>60</v>
          </cell>
          <cell r="BV104">
            <v>60</v>
          </cell>
          <cell r="BW104">
            <v>37</v>
          </cell>
          <cell r="BX104">
            <v>47</v>
          </cell>
          <cell r="BY104">
            <v>68</v>
          </cell>
          <cell r="BZ104">
            <v>51</v>
          </cell>
          <cell r="CA104" t="str">
            <v>--</v>
          </cell>
          <cell r="CB104">
            <v>60</v>
          </cell>
          <cell r="CC104">
            <v>60</v>
          </cell>
          <cell r="CD104">
            <v>60</v>
          </cell>
          <cell r="CE104">
            <v>60</v>
          </cell>
          <cell r="CF104">
            <v>17.600000000000001</v>
          </cell>
          <cell r="CG104">
            <v>15.8</v>
          </cell>
          <cell r="CH104">
            <v>9.1</v>
          </cell>
          <cell r="CI104">
            <v>8.1999999999999993</v>
          </cell>
          <cell r="CJ104">
            <v>8.3000000000000007</v>
          </cell>
          <cell r="CK104">
            <v>7.5</v>
          </cell>
          <cell r="CL104">
            <v>6.7</v>
          </cell>
          <cell r="CM104">
            <v>6.1</v>
          </cell>
          <cell r="CN104">
            <v>5.4</v>
          </cell>
          <cell r="CO104">
            <v>33.299999999999997</v>
          </cell>
          <cell r="CP104">
            <v>30</v>
          </cell>
          <cell r="CQ104">
            <v>34.6</v>
          </cell>
          <cell r="CR104">
            <v>31.1</v>
          </cell>
          <cell r="CS104">
            <v>51.4</v>
          </cell>
          <cell r="CT104">
            <v>46.3</v>
          </cell>
          <cell r="CU104">
            <v>41.6</v>
          </cell>
          <cell r="CV104">
            <v>37.5</v>
          </cell>
          <cell r="CW104">
            <v>33.700000000000003</v>
          </cell>
          <cell r="CX104">
            <v>31.7</v>
          </cell>
          <cell r="CY104">
            <v>28.5</v>
          </cell>
          <cell r="CZ104">
            <v>25</v>
          </cell>
          <cell r="DA104">
            <v>22.5</v>
          </cell>
          <cell r="DB104">
            <v>13.3</v>
          </cell>
          <cell r="DC104">
            <v>12</v>
          </cell>
          <cell r="DD104">
            <v>10.8</v>
          </cell>
          <cell r="DE104">
            <v>9.6999999999999993</v>
          </cell>
          <cell r="DF104">
            <v>8.6999999999999993</v>
          </cell>
          <cell r="DG104">
            <v>3.9</v>
          </cell>
          <cell r="DH104">
            <v>4.3</v>
          </cell>
          <cell r="DI104">
            <v>0</v>
          </cell>
          <cell r="DJ104">
            <v>1</v>
          </cell>
          <cell r="DK104">
            <v>2.8</v>
          </cell>
          <cell r="DL104">
            <v>3.1</v>
          </cell>
          <cell r="DM104">
            <v>3.4</v>
          </cell>
          <cell r="DN104">
            <v>3.7</v>
          </cell>
          <cell r="DO104">
            <v>4.0999999999999996</v>
          </cell>
          <cell r="DP104">
            <v>15.7</v>
          </cell>
          <cell r="DQ104">
            <v>17.3</v>
          </cell>
          <cell r="DR104">
            <v>7.4</v>
          </cell>
          <cell r="DS104">
            <v>8.1</v>
          </cell>
          <cell r="DT104">
            <v>5.7</v>
          </cell>
          <cell r="DU104">
            <v>6.3</v>
          </cell>
          <cell r="DV104">
            <v>6.9</v>
          </cell>
          <cell r="DW104">
            <v>7.6</v>
          </cell>
          <cell r="DX104">
            <v>8.3000000000000007</v>
          </cell>
          <cell r="DY104">
            <v>2.4</v>
          </cell>
          <cell r="DZ104">
            <v>2.6</v>
          </cell>
          <cell r="EA104">
            <v>1.3</v>
          </cell>
          <cell r="EB104">
            <v>1.4</v>
          </cell>
          <cell r="EC104">
            <v>0</v>
          </cell>
          <cell r="ED104">
            <v>1</v>
          </cell>
          <cell r="EE104">
            <v>1.1000000000000001</v>
          </cell>
          <cell r="EF104">
            <v>1.2</v>
          </cell>
          <cell r="EG104">
            <v>1.3</v>
          </cell>
        </row>
        <row r="105">
          <cell r="A105" t="str">
            <v>00350535ELL and Former ELL</v>
          </cell>
          <cell r="B105" t="str">
            <v>00350535L</v>
          </cell>
          <cell r="C105" t="str">
            <v>0035</v>
          </cell>
          <cell r="D105" t="str">
            <v>00350535</v>
          </cell>
          <cell r="E105" t="str">
            <v>Boston</v>
          </cell>
          <cell r="F105" t="str">
            <v>The English High</v>
          </cell>
          <cell r="G105" t="str">
            <v>HS</v>
          </cell>
          <cell r="H105" t="str">
            <v>Boston - The English High (00350535)</v>
          </cell>
          <cell r="I105" t="str">
            <v>ELL and Former ELL</v>
          </cell>
          <cell r="J105" t="str">
            <v>00350535ELL and Former ELL</v>
          </cell>
          <cell r="K105" t="str">
            <v>--</v>
          </cell>
          <cell r="L105">
            <v>53.5</v>
          </cell>
          <cell r="M105">
            <v>57.4</v>
          </cell>
          <cell r="N105">
            <v>71.3</v>
          </cell>
          <cell r="O105">
            <v>61.3</v>
          </cell>
          <cell r="P105">
            <v>71.900000000000006</v>
          </cell>
          <cell r="Q105">
            <v>66.400000000000006</v>
          </cell>
          <cell r="R105">
            <v>70.3</v>
          </cell>
          <cell r="S105">
            <v>74.2</v>
          </cell>
          <cell r="T105">
            <v>78.099999999999994</v>
          </cell>
          <cell r="U105">
            <v>56.9</v>
          </cell>
          <cell r="V105">
            <v>60.5</v>
          </cell>
          <cell r="W105">
            <v>50</v>
          </cell>
          <cell r="X105">
            <v>64.099999999999994</v>
          </cell>
          <cell r="Y105">
            <v>50.7</v>
          </cell>
          <cell r="Z105">
            <v>69</v>
          </cell>
          <cell r="AA105">
            <v>72.599999999999994</v>
          </cell>
          <cell r="AB105">
            <v>76.2</v>
          </cell>
          <cell r="AC105">
            <v>79.8</v>
          </cell>
          <cell r="AD105">
            <v>44.4</v>
          </cell>
          <cell r="AE105">
            <v>49</v>
          </cell>
          <cell r="AF105">
            <v>48.2</v>
          </cell>
          <cell r="AG105">
            <v>53.7</v>
          </cell>
          <cell r="AH105">
            <v>61.3</v>
          </cell>
          <cell r="AI105">
            <v>59.6</v>
          </cell>
          <cell r="AJ105">
            <v>64.2</v>
          </cell>
          <cell r="AK105">
            <v>68.900000000000006</v>
          </cell>
          <cell r="AL105">
            <v>73.5</v>
          </cell>
          <cell r="AM105">
            <v>50.8</v>
          </cell>
          <cell r="AN105">
            <v>53.3</v>
          </cell>
          <cell r="AO105">
            <v>52.2</v>
          </cell>
          <cell r="AP105">
            <v>54.7</v>
          </cell>
          <cell r="AQ105">
            <v>50.8</v>
          </cell>
          <cell r="AR105">
            <v>53.3</v>
          </cell>
          <cell r="AS105">
            <v>55.8</v>
          </cell>
          <cell r="AT105">
            <v>58.3</v>
          </cell>
          <cell r="AU105">
            <v>60.8</v>
          </cell>
          <cell r="AV105">
            <v>45.3</v>
          </cell>
          <cell r="AW105">
            <v>47.8</v>
          </cell>
          <cell r="AX105">
            <v>60</v>
          </cell>
          <cell r="AY105">
            <v>62.5</v>
          </cell>
          <cell r="AZ105">
            <v>67.2</v>
          </cell>
          <cell r="BA105">
            <v>69.7</v>
          </cell>
          <cell r="BB105">
            <v>72.2</v>
          </cell>
          <cell r="BC105">
            <v>74.7</v>
          </cell>
          <cell r="BD105">
            <v>77.2</v>
          </cell>
          <cell r="BE105">
            <v>5.7</v>
          </cell>
          <cell r="BF105">
            <v>5.2</v>
          </cell>
          <cell r="BG105">
            <v>5.6</v>
          </cell>
          <cell r="BH105">
            <v>4.8</v>
          </cell>
          <cell r="BI105">
            <v>5.3</v>
          </cell>
          <cell r="BJ105">
            <v>1.3</v>
          </cell>
          <cell r="BK105">
            <v>0.8</v>
          </cell>
          <cell r="BL105">
            <v>0.3</v>
          </cell>
          <cell r="BM105">
            <v>0</v>
          </cell>
          <cell r="BN105" t="str">
            <v>--</v>
          </cell>
          <cell r="BO105" t="str">
            <v>--</v>
          </cell>
          <cell r="BP105" t="str">
            <v>--</v>
          </cell>
          <cell r="BQ105" t="str">
            <v>--</v>
          </cell>
          <cell r="BR105" t="str">
            <v>--</v>
          </cell>
          <cell r="BS105" t="str">
            <v>--</v>
          </cell>
          <cell r="BT105" t="str">
            <v>--</v>
          </cell>
          <cell r="BU105" t="str">
            <v>--</v>
          </cell>
          <cell r="BV105" t="str">
            <v>--</v>
          </cell>
          <cell r="BW105" t="str">
            <v>--</v>
          </cell>
          <cell r="BX105" t="str">
            <v>--</v>
          </cell>
          <cell r="BY105" t="str">
            <v>--</v>
          </cell>
          <cell r="BZ105" t="str">
            <v>--</v>
          </cell>
          <cell r="CA105" t="str">
            <v>--</v>
          </cell>
          <cell r="CB105" t="str">
            <v>--</v>
          </cell>
          <cell r="CC105" t="str">
            <v>--</v>
          </cell>
          <cell r="CD105" t="str">
            <v>--</v>
          </cell>
          <cell r="CE105" t="str">
            <v>--</v>
          </cell>
          <cell r="CF105">
            <v>38.9</v>
          </cell>
          <cell r="CG105">
            <v>35</v>
          </cell>
          <cell r="CH105">
            <v>10</v>
          </cell>
          <cell r="CI105">
            <v>9</v>
          </cell>
          <cell r="CJ105">
            <v>5</v>
          </cell>
          <cell r="CK105">
            <v>4.5</v>
          </cell>
          <cell r="CL105">
            <v>4.0999999999999996</v>
          </cell>
          <cell r="CM105">
            <v>3.6</v>
          </cell>
          <cell r="CN105">
            <v>3.3</v>
          </cell>
          <cell r="CO105">
            <v>41.7</v>
          </cell>
          <cell r="CP105">
            <v>37.5</v>
          </cell>
          <cell r="CQ105">
            <v>50.8</v>
          </cell>
          <cell r="CR105">
            <v>45.7</v>
          </cell>
          <cell r="CS105">
            <v>55.3</v>
          </cell>
          <cell r="CT105">
            <v>49.8</v>
          </cell>
          <cell r="CU105">
            <v>44.8</v>
          </cell>
          <cell r="CV105">
            <v>40.299999999999997</v>
          </cell>
          <cell r="CW105">
            <v>36.299999999999997</v>
          </cell>
          <cell r="CX105">
            <v>48.4</v>
          </cell>
          <cell r="CY105">
            <v>43.6</v>
          </cell>
          <cell r="CZ105">
            <v>38.6</v>
          </cell>
          <cell r="DA105">
            <v>34.700000000000003</v>
          </cell>
          <cell r="DB105">
            <v>16.100000000000001</v>
          </cell>
          <cell r="DC105">
            <v>14.5</v>
          </cell>
          <cell r="DD105">
            <v>13</v>
          </cell>
          <cell r="DE105">
            <v>11.7</v>
          </cell>
          <cell r="DF105">
            <v>10.6</v>
          </cell>
          <cell r="DG105">
            <v>0</v>
          </cell>
          <cell r="DH105">
            <v>1</v>
          </cell>
          <cell r="DI105">
            <v>0</v>
          </cell>
          <cell r="DJ105">
            <v>1</v>
          </cell>
          <cell r="DK105">
            <v>2.5</v>
          </cell>
          <cell r="DL105">
            <v>2.8</v>
          </cell>
          <cell r="DM105">
            <v>3</v>
          </cell>
          <cell r="DN105">
            <v>3.3</v>
          </cell>
          <cell r="DO105">
            <v>3.7</v>
          </cell>
          <cell r="DP105">
            <v>19.399999999999999</v>
          </cell>
          <cell r="DQ105">
            <v>21.3</v>
          </cell>
          <cell r="DR105">
            <v>3.1</v>
          </cell>
          <cell r="DS105">
            <v>3.4</v>
          </cell>
          <cell r="DT105">
            <v>2.6</v>
          </cell>
          <cell r="DU105">
            <v>2.9</v>
          </cell>
          <cell r="DV105">
            <v>3.1</v>
          </cell>
          <cell r="DW105">
            <v>3.5</v>
          </cell>
          <cell r="DX105">
            <v>3.8</v>
          </cell>
          <cell r="DY105">
            <v>3.2</v>
          </cell>
          <cell r="DZ105">
            <v>3.5</v>
          </cell>
          <cell r="EA105">
            <v>0</v>
          </cell>
          <cell r="EB105">
            <v>1</v>
          </cell>
          <cell r="EC105">
            <v>0</v>
          </cell>
          <cell r="ED105">
            <v>1</v>
          </cell>
          <cell r="EE105">
            <v>1.1000000000000001</v>
          </cell>
          <cell r="EF105">
            <v>1.2</v>
          </cell>
          <cell r="EG105">
            <v>1.3</v>
          </cell>
        </row>
        <row r="106">
          <cell r="A106" t="str">
            <v>00350535Multi-race, Non-Hisp./Lat.</v>
          </cell>
          <cell r="B106" t="str">
            <v>00350535M</v>
          </cell>
          <cell r="C106" t="str">
            <v>0035</v>
          </cell>
          <cell r="D106" t="str">
            <v>00350535</v>
          </cell>
          <cell r="E106" t="str">
            <v>Boston</v>
          </cell>
          <cell r="F106" t="str">
            <v>The English High</v>
          </cell>
          <cell r="G106" t="str">
            <v>HS</v>
          </cell>
          <cell r="H106" t="str">
            <v>Boston - The English High (00350535)</v>
          </cell>
          <cell r="I106" t="str">
            <v>Multi-race, Non-Hisp./Lat.</v>
          </cell>
          <cell r="J106" t="str">
            <v>00350535Multi-race, Non-Hisp./Lat.</v>
          </cell>
          <cell r="K106" t="str">
            <v>Level 4</v>
          </cell>
          <cell r="L106" t="str">
            <v>--</v>
          </cell>
          <cell r="M106" t="str">
            <v>--</v>
          </cell>
          <cell r="N106" t="str">
            <v>--</v>
          </cell>
          <cell r="O106" t="str">
            <v>--</v>
          </cell>
          <cell r="P106" t="str">
            <v>--</v>
          </cell>
          <cell r="Q106" t="str">
            <v>--</v>
          </cell>
          <cell r="R106" t="str">
            <v>--</v>
          </cell>
          <cell r="S106" t="str">
            <v>--</v>
          </cell>
          <cell r="T106" t="str">
            <v>--</v>
          </cell>
          <cell r="U106" t="str">
            <v>--</v>
          </cell>
          <cell r="V106" t="str">
            <v>--</v>
          </cell>
          <cell r="W106" t="str">
            <v>--</v>
          </cell>
          <cell r="X106" t="str">
            <v>--</v>
          </cell>
          <cell r="Y106" t="str">
            <v>--</v>
          </cell>
          <cell r="Z106" t="str">
            <v>--</v>
          </cell>
          <cell r="AA106" t="str">
            <v>--</v>
          </cell>
          <cell r="AB106" t="str">
            <v>--</v>
          </cell>
          <cell r="AC106" t="str">
            <v>--</v>
          </cell>
          <cell r="AD106" t="str">
            <v>--</v>
          </cell>
          <cell r="AE106" t="str">
            <v>--</v>
          </cell>
          <cell r="AF106" t="str">
            <v>--</v>
          </cell>
          <cell r="AG106" t="str">
            <v>--</v>
          </cell>
          <cell r="AH106" t="str">
            <v>--</v>
          </cell>
          <cell r="AI106" t="str">
            <v>--</v>
          </cell>
          <cell r="AJ106" t="str">
            <v>--</v>
          </cell>
          <cell r="AK106" t="str">
            <v>--</v>
          </cell>
          <cell r="AL106" t="str">
            <v>--</v>
          </cell>
          <cell r="AM106" t="str">
            <v>--</v>
          </cell>
          <cell r="AN106" t="str">
            <v>--</v>
          </cell>
          <cell r="AO106" t="str">
            <v>--</v>
          </cell>
          <cell r="AP106" t="str">
            <v>--</v>
          </cell>
          <cell r="AQ106" t="str">
            <v>--</v>
          </cell>
          <cell r="AR106" t="str">
            <v>--</v>
          </cell>
          <cell r="AS106" t="str">
            <v>--</v>
          </cell>
          <cell r="AT106" t="str">
            <v>--</v>
          </cell>
          <cell r="AU106" t="str">
            <v>--</v>
          </cell>
          <cell r="AV106" t="str">
            <v>--</v>
          </cell>
          <cell r="AW106" t="str">
            <v>--</v>
          </cell>
          <cell r="AX106" t="str">
            <v>--</v>
          </cell>
          <cell r="AY106" t="str">
            <v>--</v>
          </cell>
          <cell r="AZ106" t="str">
            <v>--</v>
          </cell>
          <cell r="BA106" t="str">
            <v>--</v>
          </cell>
          <cell r="BB106" t="str">
            <v>--</v>
          </cell>
          <cell r="BC106" t="str">
            <v>--</v>
          </cell>
          <cell r="BD106" t="str">
            <v>--</v>
          </cell>
          <cell r="BE106" t="str">
            <v>--</v>
          </cell>
          <cell r="BF106" t="str">
            <v>--</v>
          </cell>
          <cell r="BG106" t="str">
            <v>--</v>
          </cell>
          <cell r="BH106" t="str">
            <v>--</v>
          </cell>
          <cell r="BI106" t="str">
            <v>--</v>
          </cell>
          <cell r="BJ106" t="str">
            <v>--</v>
          </cell>
          <cell r="BK106" t="str">
            <v>--</v>
          </cell>
          <cell r="BL106" t="str">
            <v>--</v>
          </cell>
          <cell r="BM106" t="str">
            <v>--</v>
          </cell>
          <cell r="BN106" t="str">
            <v>--</v>
          </cell>
          <cell r="BO106" t="str">
            <v>--</v>
          </cell>
          <cell r="BP106" t="str">
            <v>--</v>
          </cell>
          <cell r="BQ106" t="str">
            <v>--</v>
          </cell>
          <cell r="BR106" t="str">
            <v>--</v>
          </cell>
          <cell r="BS106" t="str">
            <v>--</v>
          </cell>
          <cell r="BT106" t="str">
            <v>--</v>
          </cell>
          <cell r="BU106" t="str">
            <v>--</v>
          </cell>
          <cell r="BV106" t="str">
            <v>--</v>
          </cell>
          <cell r="BW106" t="str">
            <v>--</v>
          </cell>
          <cell r="BX106" t="str">
            <v>--</v>
          </cell>
          <cell r="BY106" t="str">
            <v>--</v>
          </cell>
          <cell r="BZ106" t="str">
            <v>--</v>
          </cell>
          <cell r="CA106" t="str">
            <v>--</v>
          </cell>
          <cell r="CB106" t="str">
            <v>--</v>
          </cell>
          <cell r="CC106" t="str">
            <v>--</v>
          </cell>
          <cell r="CD106" t="str">
            <v>--</v>
          </cell>
          <cell r="CE106" t="str">
            <v>--</v>
          </cell>
          <cell r="CF106" t="str">
            <v>--</v>
          </cell>
          <cell r="CG106" t="str">
            <v>--</v>
          </cell>
          <cell r="CH106" t="str">
            <v>--</v>
          </cell>
          <cell r="CI106" t="str">
            <v>--</v>
          </cell>
          <cell r="CJ106" t="str">
            <v>--</v>
          </cell>
          <cell r="CK106" t="str">
            <v>--</v>
          </cell>
          <cell r="CL106" t="str">
            <v>--</v>
          </cell>
          <cell r="CM106" t="str">
            <v>--</v>
          </cell>
          <cell r="CN106" t="str">
            <v>--</v>
          </cell>
          <cell r="CO106" t="str">
            <v>--</v>
          </cell>
          <cell r="CP106" t="str">
            <v>--</v>
          </cell>
          <cell r="CQ106" t="str">
            <v>--</v>
          </cell>
          <cell r="CR106" t="str">
            <v>--</v>
          </cell>
          <cell r="CS106" t="str">
            <v>--</v>
          </cell>
          <cell r="CT106" t="str">
            <v>--</v>
          </cell>
          <cell r="CU106" t="str">
            <v>--</v>
          </cell>
          <cell r="CV106" t="str">
            <v>--</v>
          </cell>
          <cell r="CW106" t="str">
            <v>--</v>
          </cell>
          <cell r="CX106" t="str">
            <v>--</v>
          </cell>
          <cell r="CY106" t="str">
            <v>--</v>
          </cell>
          <cell r="CZ106" t="str">
            <v>--</v>
          </cell>
          <cell r="DA106" t="str">
            <v>--</v>
          </cell>
          <cell r="DB106" t="str">
            <v>--</v>
          </cell>
          <cell r="DC106" t="str">
            <v>--</v>
          </cell>
          <cell r="DD106" t="str">
            <v>--</v>
          </cell>
          <cell r="DE106" t="str">
            <v>--</v>
          </cell>
          <cell r="DF106" t="str">
            <v>--</v>
          </cell>
          <cell r="DG106" t="str">
            <v>--</v>
          </cell>
          <cell r="DH106" t="str">
            <v>--</v>
          </cell>
          <cell r="DI106" t="str">
            <v>--</v>
          </cell>
          <cell r="DJ106" t="str">
            <v>--</v>
          </cell>
          <cell r="DK106" t="str">
            <v>--</v>
          </cell>
          <cell r="DL106" t="str">
            <v>--</v>
          </cell>
          <cell r="DM106" t="str">
            <v>--</v>
          </cell>
          <cell r="DN106" t="str">
            <v>--</v>
          </cell>
          <cell r="DO106" t="str">
            <v>--</v>
          </cell>
          <cell r="DP106" t="str">
            <v>--</v>
          </cell>
          <cell r="DQ106" t="str">
            <v>--</v>
          </cell>
          <cell r="DR106" t="str">
            <v>--</v>
          </cell>
          <cell r="DS106" t="str">
            <v>--</v>
          </cell>
          <cell r="DT106" t="str">
            <v>--</v>
          </cell>
          <cell r="DU106" t="str">
            <v>--</v>
          </cell>
          <cell r="DV106" t="str">
            <v>--</v>
          </cell>
          <cell r="DW106" t="str">
            <v>--</v>
          </cell>
          <cell r="DX106" t="str">
            <v>--</v>
          </cell>
          <cell r="DY106" t="str">
            <v>--</v>
          </cell>
          <cell r="DZ106" t="str">
            <v>--</v>
          </cell>
          <cell r="EA106" t="str">
            <v>--</v>
          </cell>
          <cell r="EB106" t="str">
            <v>--</v>
          </cell>
          <cell r="EC106" t="str">
            <v>--</v>
          </cell>
          <cell r="ED106" t="str">
            <v>--</v>
          </cell>
          <cell r="EE106" t="str">
            <v>--</v>
          </cell>
          <cell r="EF106" t="str">
            <v>--</v>
          </cell>
          <cell r="EG106" t="str">
            <v>--</v>
          </cell>
        </row>
        <row r="107">
          <cell r="A107" t="str">
            <v>00350535Amer. Ind. or Alaska Nat.</v>
          </cell>
          <cell r="B107" t="str">
            <v>00350535N</v>
          </cell>
          <cell r="C107" t="str">
            <v>0035</v>
          </cell>
          <cell r="D107" t="str">
            <v>00350535</v>
          </cell>
          <cell r="E107" t="str">
            <v>Boston</v>
          </cell>
          <cell r="F107" t="str">
            <v>The English High</v>
          </cell>
          <cell r="G107" t="str">
            <v>HS</v>
          </cell>
          <cell r="H107" t="str">
            <v>Boston - The English High (00350535)</v>
          </cell>
          <cell r="I107" t="str">
            <v>Amer. Ind. or Alaska Nat.</v>
          </cell>
          <cell r="J107" t="str">
            <v>00350535Amer. Ind. or Alaska Nat.</v>
          </cell>
          <cell r="K107" t="str">
            <v>--</v>
          </cell>
          <cell r="L107" t="str">
            <v>--</v>
          </cell>
          <cell r="M107" t="str">
            <v>--</v>
          </cell>
          <cell r="N107" t="str">
            <v>--</v>
          </cell>
          <cell r="O107" t="str">
            <v>--</v>
          </cell>
          <cell r="P107" t="str">
            <v>--</v>
          </cell>
          <cell r="Q107" t="str">
            <v>--</v>
          </cell>
          <cell r="R107" t="str">
            <v>--</v>
          </cell>
          <cell r="S107" t="str">
            <v>--</v>
          </cell>
          <cell r="T107" t="str">
            <v>--</v>
          </cell>
          <cell r="U107" t="str">
            <v>--</v>
          </cell>
          <cell r="V107" t="str">
            <v>--</v>
          </cell>
          <cell r="W107" t="str">
            <v>--</v>
          </cell>
          <cell r="X107" t="str">
            <v>--</v>
          </cell>
          <cell r="Y107" t="str">
            <v>--</v>
          </cell>
          <cell r="Z107" t="str">
            <v>--</v>
          </cell>
          <cell r="AA107" t="str">
            <v>--</v>
          </cell>
          <cell r="AB107" t="str">
            <v>--</v>
          </cell>
          <cell r="AC107" t="str">
            <v>--</v>
          </cell>
          <cell r="AD107" t="str">
            <v>--</v>
          </cell>
          <cell r="AE107" t="str">
            <v>--</v>
          </cell>
          <cell r="AF107" t="str">
            <v>--</v>
          </cell>
          <cell r="AG107" t="str">
            <v>--</v>
          </cell>
          <cell r="AH107" t="str">
            <v>--</v>
          </cell>
          <cell r="AI107" t="str">
            <v>--</v>
          </cell>
          <cell r="AJ107" t="str">
            <v>--</v>
          </cell>
          <cell r="AK107" t="str">
            <v>--</v>
          </cell>
          <cell r="AL107" t="str">
            <v>--</v>
          </cell>
          <cell r="AM107" t="str">
            <v>--</v>
          </cell>
          <cell r="AN107" t="str">
            <v>--</v>
          </cell>
          <cell r="AO107" t="str">
            <v>--</v>
          </cell>
          <cell r="AP107" t="str">
            <v>--</v>
          </cell>
          <cell r="AQ107" t="str">
            <v>--</v>
          </cell>
          <cell r="AR107" t="str">
            <v>--</v>
          </cell>
          <cell r="AS107" t="str">
            <v>--</v>
          </cell>
          <cell r="AT107" t="str">
            <v>--</v>
          </cell>
          <cell r="AU107" t="str">
            <v>--</v>
          </cell>
          <cell r="AV107" t="str">
            <v>--</v>
          </cell>
          <cell r="AW107" t="str">
            <v>--</v>
          </cell>
          <cell r="AX107" t="str">
            <v>--</v>
          </cell>
          <cell r="AY107" t="str">
            <v>--</v>
          </cell>
          <cell r="AZ107" t="str">
            <v>--</v>
          </cell>
          <cell r="BA107" t="str">
            <v>--</v>
          </cell>
          <cell r="BB107" t="str">
            <v>--</v>
          </cell>
          <cell r="BC107" t="str">
            <v>--</v>
          </cell>
          <cell r="BD107" t="str">
            <v>--</v>
          </cell>
          <cell r="BE107" t="str">
            <v>--</v>
          </cell>
          <cell r="BF107" t="str">
            <v>--</v>
          </cell>
          <cell r="BG107" t="str">
            <v>--</v>
          </cell>
          <cell r="BH107" t="str">
            <v>--</v>
          </cell>
          <cell r="BI107" t="str">
            <v>--</v>
          </cell>
          <cell r="BJ107" t="str">
            <v>--</v>
          </cell>
          <cell r="BK107" t="str">
            <v>--</v>
          </cell>
          <cell r="BL107" t="str">
            <v>--</v>
          </cell>
          <cell r="BM107" t="str">
            <v>--</v>
          </cell>
          <cell r="BN107" t="str">
            <v>--</v>
          </cell>
          <cell r="BO107" t="str">
            <v>--</v>
          </cell>
          <cell r="BP107" t="str">
            <v>--</v>
          </cell>
          <cell r="BQ107" t="str">
            <v>--</v>
          </cell>
          <cell r="BR107" t="str">
            <v>--</v>
          </cell>
          <cell r="BS107" t="str">
            <v>--</v>
          </cell>
          <cell r="BT107" t="str">
            <v>--</v>
          </cell>
          <cell r="BU107" t="str">
            <v>--</v>
          </cell>
          <cell r="BV107" t="str">
            <v>--</v>
          </cell>
          <cell r="BW107" t="str">
            <v>--</v>
          </cell>
          <cell r="BX107" t="str">
            <v>--</v>
          </cell>
          <cell r="BY107" t="str">
            <v>--</v>
          </cell>
          <cell r="BZ107" t="str">
            <v>--</v>
          </cell>
          <cell r="CA107" t="str">
            <v>--</v>
          </cell>
          <cell r="CB107" t="str">
            <v>--</v>
          </cell>
          <cell r="CC107" t="str">
            <v>--</v>
          </cell>
          <cell r="CD107" t="str">
            <v>--</v>
          </cell>
          <cell r="CE107" t="str">
            <v>--</v>
          </cell>
          <cell r="CF107" t="str">
            <v>--</v>
          </cell>
          <cell r="CG107" t="str">
            <v>--</v>
          </cell>
          <cell r="CH107" t="str">
            <v>--</v>
          </cell>
          <cell r="CI107" t="str">
            <v>--</v>
          </cell>
          <cell r="CJ107" t="str">
            <v>--</v>
          </cell>
          <cell r="CK107" t="str">
            <v>--</v>
          </cell>
          <cell r="CL107" t="str">
            <v>--</v>
          </cell>
          <cell r="CM107" t="str">
            <v>--</v>
          </cell>
          <cell r="CN107" t="str">
            <v>--</v>
          </cell>
          <cell r="CO107" t="str">
            <v>--</v>
          </cell>
          <cell r="CP107" t="str">
            <v>--</v>
          </cell>
          <cell r="CQ107" t="str">
            <v>--</v>
          </cell>
          <cell r="CR107" t="str">
            <v>--</v>
          </cell>
          <cell r="CS107" t="str">
            <v>--</v>
          </cell>
          <cell r="CT107" t="str">
            <v>--</v>
          </cell>
          <cell r="CU107" t="str">
            <v>--</v>
          </cell>
          <cell r="CV107" t="str">
            <v>--</v>
          </cell>
          <cell r="CW107" t="str">
            <v>--</v>
          </cell>
          <cell r="CX107" t="str">
            <v>--</v>
          </cell>
          <cell r="CY107" t="str">
            <v>--</v>
          </cell>
          <cell r="CZ107" t="str">
            <v>--</v>
          </cell>
          <cell r="DA107" t="str">
            <v>--</v>
          </cell>
          <cell r="DB107" t="str">
            <v>--</v>
          </cell>
          <cell r="DC107" t="str">
            <v>--</v>
          </cell>
          <cell r="DD107" t="str">
            <v>--</v>
          </cell>
          <cell r="DE107" t="str">
            <v>--</v>
          </cell>
          <cell r="DF107" t="str">
            <v>--</v>
          </cell>
          <cell r="DG107" t="str">
            <v>--</v>
          </cell>
          <cell r="DH107" t="str">
            <v>--</v>
          </cell>
          <cell r="DI107" t="str">
            <v>--</v>
          </cell>
          <cell r="DJ107" t="str">
            <v>--</v>
          </cell>
          <cell r="DK107" t="str">
            <v>--</v>
          </cell>
          <cell r="DL107" t="str">
            <v>--</v>
          </cell>
          <cell r="DM107" t="str">
            <v>--</v>
          </cell>
          <cell r="DN107" t="str">
            <v>--</v>
          </cell>
          <cell r="DO107" t="str">
            <v>--</v>
          </cell>
          <cell r="DP107" t="str">
            <v>--</v>
          </cell>
          <cell r="DQ107" t="str">
            <v>--</v>
          </cell>
          <cell r="DR107" t="str">
            <v>--</v>
          </cell>
          <cell r="DS107" t="str">
            <v>--</v>
          </cell>
          <cell r="DT107" t="str">
            <v>--</v>
          </cell>
          <cell r="DU107" t="str">
            <v>--</v>
          </cell>
          <cell r="DV107" t="str">
            <v>--</v>
          </cell>
          <cell r="DW107" t="str">
            <v>--</v>
          </cell>
          <cell r="DX107" t="str">
            <v>--</v>
          </cell>
          <cell r="DY107" t="str">
            <v>--</v>
          </cell>
          <cell r="DZ107" t="str">
            <v>--</v>
          </cell>
          <cell r="EA107" t="str">
            <v>--</v>
          </cell>
          <cell r="EB107" t="str">
            <v>--</v>
          </cell>
          <cell r="EC107" t="str">
            <v>--</v>
          </cell>
          <cell r="ED107" t="str">
            <v>--</v>
          </cell>
          <cell r="EE107" t="str">
            <v>--</v>
          </cell>
          <cell r="EF107" t="str">
            <v>--</v>
          </cell>
          <cell r="EG107" t="str">
            <v>--</v>
          </cell>
        </row>
        <row r="108">
          <cell r="A108" t="str">
            <v>00350535Nat. Haw. or Pacif. Isl.</v>
          </cell>
          <cell r="B108" t="str">
            <v>00350535P</v>
          </cell>
          <cell r="C108" t="str">
            <v>0035</v>
          </cell>
          <cell r="D108" t="str">
            <v>00350535</v>
          </cell>
          <cell r="E108" t="str">
            <v>Boston</v>
          </cell>
          <cell r="F108" t="str">
            <v>The English High</v>
          </cell>
          <cell r="G108" t="str">
            <v>HS</v>
          </cell>
          <cell r="H108" t="str">
            <v>Boston - The English High (00350535)</v>
          </cell>
          <cell r="I108" t="str">
            <v>Nat. Haw. or Pacif. Isl.</v>
          </cell>
          <cell r="J108" t="str">
            <v>00350535Nat. Haw. or Pacif. Isl.</v>
          </cell>
          <cell r="K108" t="str">
            <v>Level 4</v>
          </cell>
          <cell r="L108" t="str">
            <v>--</v>
          </cell>
          <cell r="M108" t="str">
            <v>--</v>
          </cell>
          <cell r="N108" t="str">
            <v>--</v>
          </cell>
          <cell r="O108" t="str">
            <v>--</v>
          </cell>
          <cell r="P108" t="str">
            <v>--</v>
          </cell>
          <cell r="Q108" t="str">
            <v>--</v>
          </cell>
          <cell r="R108" t="str">
            <v>--</v>
          </cell>
          <cell r="S108" t="str">
            <v>--</v>
          </cell>
          <cell r="T108" t="str">
            <v>--</v>
          </cell>
          <cell r="U108" t="str">
            <v>--</v>
          </cell>
          <cell r="V108" t="str">
            <v>--</v>
          </cell>
          <cell r="W108" t="str">
            <v>--</v>
          </cell>
          <cell r="X108" t="str">
            <v>--</v>
          </cell>
          <cell r="Y108" t="str">
            <v>--</v>
          </cell>
          <cell r="Z108" t="str">
            <v>--</v>
          </cell>
          <cell r="AA108" t="str">
            <v>--</v>
          </cell>
          <cell r="AB108" t="str">
            <v>--</v>
          </cell>
          <cell r="AC108" t="str">
            <v>--</v>
          </cell>
          <cell r="AD108" t="str">
            <v>--</v>
          </cell>
          <cell r="AE108" t="str">
            <v>--</v>
          </cell>
          <cell r="AF108" t="str">
            <v>--</v>
          </cell>
          <cell r="AG108" t="str">
            <v>--</v>
          </cell>
          <cell r="AH108" t="str">
            <v>--</v>
          </cell>
          <cell r="AI108" t="str">
            <v>--</v>
          </cell>
          <cell r="AJ108" t="str">
            <v>--</v>
          </cell>
          <cell r="AK108" t="str">
            <v>--</v>
          </cell>
          <cell r="AL108" t="str">
            <v>--</v>
          </cell>
          <cell r="AM108" t="str">
            <v>--</v>
          </cell>
          <cell r="AN108" t="str">
            <v>--</v>
          </cell>
          <cell r="AO108" t="str">
            <v>--</v>
          </cell>
          <cell r="AP108" t="str">
            <v>--</v>
          </cell>
          <cell r="AQ108" t="str">
            <v>--</v>
          </cell>
          <cell r="AR108" t="str">
            <v>--</v>
          </cell>
          <cell r="AS108" t="str">
            <v>--</v>
          </cell>
          <cell r="AT108" t="str">
            <v>--</v>
          </cell>
          <cell r="AU108" t="str">
            <v>--</v>
          </cell>
          <cell r="AV108" t="str">
            <v>--</v>
          </cell>
          <cell r="AW108" t="str">
            <v>--</v>
          </cell>
          <cell r="AX108" t="str">
            <v>--</v>
          </cell>
          <cell r="AY108" t="str">
            <v>--</v>
          </cell>
          <cell r="AZ108" t="str">
            <v>--</v>
          </cell>
          <cell r="BA108" t="str">
            <v>--</v>
          </cell>
          <cell r="BB108" t="str">
            <v>--</v>
          </cell>
          <cell r="BC108" t="str">
            <v>--</v>
          </cell>
          <cell r="BD108" t="str">
            <v>--</v>
          </cell>
          <cell r="BE108" t="str">
            <v>--</v>
          </cell>
          <cell r="BF108" t="str">
            <v>--</v>
          </cell>
          <cell r="BG108" t="str">
            <v>--</v>
          </cell>
          <cell r="BH108" t="str">
            <v>--</v>
          </cell>
          <cell r="BI108" t="str">
            <v>--</v>
          </cell>
          <cell r="BJ108" t="str">
            <v>--</v>
          </cell>
          <cell r="BK108" t="str">
            <v>--</v>
          </cell>
          <cell r="BL108" t="str">
            <v>--</v>
          </cell>
          <cell r="BM108" t="str">
            <v>--</v>
          </cell>
          <cell r="BN108" t="str">
            <v>--</v>
          </cell>
          <cell r="BO108" t="str">
            <v>--</v>
          </cell>
          <cell r="BP108" t="str">
            <v>--</v>
          </cell>
          <cell r="BQ108" t="str">
            <v>--</v>
          </cell>
          <cell r="BR108" t="str">
            <v>--</v>
          </cell>
          <cell r="BS108" t="str">
            <v>--</v>
          </cell>
          <cell r="BT108" t="str">
            <v>--</v>
          </cell>
          <cell r="BU108" t="str">
            <v>--</v>
          </cell>
          <cell r="BV108" t="str">
            <v>--</v>
          </cell>
          <cell r="BW108" t="str">
            <v>--</v>
          </cell>
          <cell r="BX108" t="str">
            <v>--</v>
          </cell>
          <cell r="BY108" t="str">
            <v>--</v>
          </cell>
          <cell r="BZ108" t="str">
            <v>--</v>
          </cell>
          <cell r="CA108" t="str">
            <v>--</v>
          </cell>
          <cell r="CB108" t="str">
            <v>--</v>
          </cell>
          <cell r="CC108" t="str">
            <v>--</v>
          </cell>
          <cell r="CD108" t="str">
            <v>--</v>
          </cell>
          <cell r="CE108" t="str">
            <v>--</v>
          </cell>
          <cell r="CF108" t="str">
            <v>--</v>
          </cell>
          <cell r="CG108" t="str">
            <v>--</v>
          </cell>
          <cell r="CH108" t="str">
            <v>--</v>
          </cell>
          <cell r="CI108" t="str">
            <v>--</v>
          </cell>
          <cell r="CJ108" t="str">
            <v>--</v>
          </cell>
          <cell r="CK108" t="str">
            <v>--</v>
          </cell>
          <cell r="CL108" t="str">
            <v>--</v>
          </cell>
          <cell r="CM108" t="str">
            <v>--</v>
          </cell>
          <cell r="CN108" t="str">
            <v>--</v>
          </cell>
          <cell r="CO108" t="str">
            <v>--</v>
          </cell>
          <cell r="CP108" t="str">
            <v>--</v>
          </cell>
          <cell r="CQ108" t="str">
            <v>--</v>
          </cell>
          <cell r="CR108" t="str">
            <v>--</v>
          </cell>
          <cell r="CS108" t="str">
            <v>--</v>
          </cell>
          <cell r="CT108" t="str">
            <v>--</v>
          </cell>
          <cell r="CU108" t="str">
            <v>--</v>
          </cell>
          <cell r="CV108" t="str">
            <v>--</v>
          </cell>
          <cell r="CW108" t="str">
            <v>--</v>
          </cell>
          <cell r="CX108" t="str">
            <v>--</v>
          </cell>
          <cell r="CY108" t="str">
            <v>--</v>
          </cell>
          <cell r="CZ108" t="str">
            <v>--</v>
          </cell>
          <cell r="DA108" t="str">
            <v>--</v>
          </cell>
          <cell r="DB108" t="str">
            <v>--</v>
          </cell>
          <cell r="DC108" t="str">
            <v>--</v>
          </cell>
          <cell r="DD108" t="str">
            <v>--</v>
          </cell>
          <cell r="DE108" t="str">
            <v>--</v>
          </cell>
          <cell r="DF108" t="str">
            <v>--</v>
          </cell>
          <cell r="DG108" t="str">
            <v>--</v>
          </cell>
          <cell r="DH108" t="str">
            <v>--</v>
          </cell>
          <cell r="DI108" t="str">
            <v>--</v>
          </cell>
          <cell r="DJ108" t="str">
            <v>--</v>
          </cell>
          <cell r="DK108" t="str">
            <v>--</v>
          </cell>
          <cell r="DL108" t="str">
            <v>--</v>
          </cell>
          <cell r="DM108" t="str">
            <v>--</v>
          </cell>
          <cell r="DN108" t="str">
            <v>--</v>
          </cell>
          <cell r="DO108" t="str">
            <v>--</v>
          </cell>
          <cell r="DP108" t="str">
            <v>--</v>
          </cell>
          <cell r="DQ108" t="str">
            <v>--</v>
          </cell>
          <cell r="DR108" t="str">
            <v>--</v>
          </cell>
          <cell r="DS108" t="str">
            <v>--</v>
          </cell>
          <cell r="DT108" t="str">
            <v>--</v>
          </cell>
          <cell r="DU108" t="str">
            <v>--</v>
          </cell>
          <cell r="DV108" t="str">
            <v>--</v>
          </cell>
          <cell r="DW108" t="str">
            <v>--</v>
          </cell>
          <cell r="DX108" t="str">
            <v>--</v>
          </cell>
          <cell r="DY108" t="str">
            <v>--</v>
          </cell>
          <cell r="DZ108" t="str">
            <v>--</v>
          </cell>
          <cell r="EA108" t="str">
            <v>--</v>
          </cell>
          <cell r="EB108" t="str">
            <v>--</v>
          </cell>
          <cell r="EC108" t="str">
            <v>--</v>
          </cell>
          <cell r="ED108" t="str">
            <v>--</v>
          </cell>
          <cell r="EE108" t="str">
            <v>--</v>
          </cell>
          <cell r="EF108" t="str">
            <v>--</v>
          </cell>
          <cell r="EG108" t="str">
            <v>--</v>
          </cell>
        </row>
        <row r="109">
          <cell r="A109" t="str">
            <v>00350535High needs</v>
          </cell>
          <cell r="B109" t="str">
            <v>00350535S</v>
          </cell>
          <cell r="C109" t="str">
            <v>0035</v>
          </cell>
          <cell r="D109" t="str">
            <v>00350535</v>
          </cell>
          <cell r="E109" t="str">
            <v>Boston</v>
          </cell>
          <cell r="F109" t="str">
            <v>The English High</v>
          </cell>
          <cell r="G109" t="str">
            <v>HS</v>
          </cell>
          <cell r="H109" t="str">
            <v>Boston - The English High (00350535)</v>
          </cell>
          <cell r="I109" t="str">
            <v>High needs</v>
          </cell>
          <cell r="J109" t="str">
            <v>00350535High needs</v>
          </cell>
          <cell r="K109" t="str">
            <v>Level 4</v>
          </cell>
          <cell r="L109">
            <v>73.099999999999994</v>
          </cell>
          <cell r="M109">
            <v>75.3</v>
          </cell>
          <cell r="N109">
            <v>76.900000000000006</v>
          </cell>
          <cell r="O109">
            <v>77.599999999999994</v>
          </cell>
          <cell r="P109">
            <v>82.8</v>
          </cell>
          <cell r="Q109">
            <v>81.099999999999994</v>
          </cell>
          <cell r="R109">
            <v>83.4</v>
          </cell>
          <cell r="S109">
            <v>85.6</v>
          </cell>
          <cell r="T109">
            <v>87.9</v>
          </cell>
          <cell r="U109">
            <v>63.6</v>
          </cell>
          <cell r="V109">
            <v>66.599999999999994</v>
          </cell>
          <cell r="W109">
            <v>61.8</v>
          </cell>
          <cell r="X109">
            <v>69.7</v>
          </cell>
          <cell r="Y109">
            <v>64.099999999999994</v>
          </cell>
          <cell r="Z109">
            <v>74</v>
          </cell>
          <cell r="AA109">
            <v>77</v>
          </cell>
          <cell r="AB109">
            <v>80.099999999999994</v>
          </cell>
          <cell r="AC109">
            <v>83.1</v>
          </cell>
          <cell r="AD109">
            <v>59.5</v>
          </cell>
          <cell r="AE109">
            <v>62.9</v>
          </cell>
          <cell r="AF109">
            <v>57.8</v>
          </cell>
          <cell r="AG109">
            <v>66.3</v>
          </cell>
          <cell r="AH109">
            <v>71.8</v>
          </cell>
          <cell r="AI109">
            <v>70.900000000000006</v>
          </cell>
          <cell r="AJ109">
            <v>74.3</v>
          </cell>
          <cell r="AK109">
            <v>77.7</v>
          </cell>
          <cell r="AL109">
            <v>81.099999999999994</v>
          </cell>
          <cell r="AM109">
            <v>62.4</v>
          </cell>
          <cell r="AN109">
            <v>64.900000000000006</v>
          </cell>
          <cell r="AO109">
            <v>50</v>
          </cell>
          <cell r="AP109">
            <v>52.5</v>
          </cell>
          <cell r="AQ109">
            <v>51.8</v>
          </cell>
          <cell r="AR109">
            <v>54.3</v>
          </cell>
          <cell r="AS109">
            <v>56.8</v>
          </cell>
          <cell r="AT109">
            <v>59.3</v>
          </cell>
          <cell r="AU109">
            <v>61.8</v>
          </cell>
          <cell r="AV109">
            <v>64.099999999999994</v>
          </cell>
          <cell r="AW109">
            <v>66.599999999999994</v>
          </cell>
          <cell r="AX109">
            <v>70.7</v>
          </cell>
          <cell r="AY109">
            <v>73.2</v>
          </cell>
          <cell r="AZ109">
            <v>63</v>
          </cell>
          <cell r="BA109">
            <v>65.5</v>
          </cell>
          <cell r="BB109">
            <v>68</v>
          </cell>
          <cell r="BC109">
            <v>70.5</v>
          </cell>
          <cell r="BD109">
            <v>73</v>
          </cell>
          <cell r="BE109">
            <v>4.9000000000000004</v>
          </cell>
          <cell r="BF109">
            <v>4.5</v>
          </cell>
          <cell r="BG109">
            <v>5.2</v>
          </cell>
          <cell r="BH109">
            <v>4.0999999999999996</v>
          </cell>
          <cell r="BI109">
            <v>5.0999999999999996</v>
          </cell>
          <cell r="BJ109">
            <v>0.7</v>
          </cell>
          <cell r="BK109">
            <v>0.3</v>
          </cell>
          <cell r="BL109">
            <v>0</v>
          </cell>
          <cell r="BM109">
            <v>0</v>
          </cell>
          <cell r="BN109">
            <v>46</v>
          </cell>
          <cell r="BO109">
            <v>51</v>
          </cell>
          <cell r="BP109">
            <v>32</v>
          </cell>
          <cell r="BQ109">
            <v>42</v>
          </cell>
          <cell r="BR109">
            <v>43</v>
          </cell>
          <cell r="BS109">
            <v>57.5</v>
          </cell>
          <cell r="BT109">
            <v>60</v>
          </cell>
          <cell r="BU109">
            <v>60</v>
          </cell>
          <cell r="BV109">
            <v>60</v>
          </cell>
          <cell r="BW109">
            <v>37</v>
          </cell>
          <cell r="BX109">
            <v>47</v>
          </cell>
          <cell r="BY109">
            <v>67.5</v>
          </cell>
          <cell r="BZ109">
            <v>51</v>
          </cell>
          <cell r="CA109">
            <v>52.5</v>
          </cell>
          <cell r="CB109">
            <v>60</v>
          </cell>
          <cell r="CC109">
            <v>60</v>
          </cell>
          <cell r="CD109">
            <v>60</v>
          </cell>
          <cell r="CE109">
            <v>60</v>
          </cell>
          <cell r="CF109">
            <v>16</v>
          </cell>
          <cell r="CG109">
            <v>14.4</v>
          </cell>
          <cell r="CH109">
            <v>5.9</v>
          </cell>
          <cell r="CI109">
            <v>5.3</v>
          </cell>
          <cell r="CJ109">
            <v>3.9</v>
          </cell>
          <cell r="CK109">
            <v>3.5</v>
          </cell>
          <cell r="CL109">
            <v>3.2</v>
          </cell>
          <cell r="CM109">
            <v>2.8</v>
          </cell>
          <cell r="CN109">
            <v>2.6</v>
          </cell>
          <cell r="CO109">
            <v>28.7</v>
          </cell>
          <cell r="CP109">
            <v>25.8</v>
          </cell>
          <cell r="CQ109">
            <v>34.5</v>
          </cell>
          <cell r="CR109">
            <v>31.1</v>
          </cell>
          <cell r="CS109">
            <v>36.799999999999997</v>
          </cell>
          <cell r="CT109">
            <v>33.1</v>
          </cell>
          <cell r="CU109">
            <v>29.8</v>
          </cell>
          <cell r="CV109">
            <v>26.8</v>
          </cell>
          <cell r="CW109">
            <v>24.1</v>
          </cell>
          <cell r="CX109">
            <v>25.3</v>
          </cell>
          <cell r="CY109">
            <v>22.8</v>
          </cell>
          <cell r="CZ109">
            <v>27.5</v>
          </cell>
          <cell r="DA109">
            <v>24.8</v>
          </cell>
          <cell r="DB109">
            <v>7</v>
          </cell>
          <cell r="DC109">
            <v>6.3</v>
          </cell>
          <cell r="DD109">
            <v>5.7</v>
          </cell>
          <cell r="DE109">
            <v>5.0999999999999996</v>
          </cell>
          <cell r="DF109">
            <v>4.5999999999999996</v>
          </cell>
          <cell r="DG109">
            <v>4.3</v>
          </cell>
          <cell r="DH109">
            <v>4.7</v>
          </cell>
          <cell r="DI109">
            <v>0</v>
          </cell>
          <cell r="DJ109">
            <v>1</v>
          </cell>
          <cell r="DK109">
            <v>6.5</v>
          </cell>
          <cell r="DL109">
            <v>7.2</v>
          </cell>
          <cell r="DM109">
            <v>7.9</v>
          </cell>
          <cell r="DN109">
            <v>8.6999999999999993</v>
          </cell>
          <cell r="DO109">
            <v>9.5</v>
          </cell>
          <cell r="DP109">
            <v>16</v>
          </cell>
          <cell r="DQ109">
            <v>17.600000000000001</v>
          </cell>
          <cell r="DR109">
            <v>9.1999999999999993</v>
          </cell>
          <cell r="DS109">
            <v>10.1</v>
          </cell>
          <cell r="DT109">
            <v>10.5</v>
          </cell>
          <cell r="DU109">
            <v>11.6</v>
          </cell>
          <cell r="DV109">
            <v>12.7</v>
          </cell>
          <cell r="DW109">
            <v>14</v>
          </cell>
          <cell r="DX109">
            <v>15.4</v>
          </cell>
          <cell r="DY109">
            <v>2.5</v>
          </cell>
          <cell r="DZ109">
            <v>2.8</v>
          </cell>
          <cell r="EA109">
            <v>0.8</v>
          </cell>
          <cell r="EB109">
            <v>0.9</v>
          </cell>
          <cell r="EC109">
            <v>1.4</v>
          </cell>
          <cell r="ED109">
            <v>1.5</v>
          </cell>
          <cell r="EE109">
            <v>1.7</v>
          </cell>
          <cell r="EF109">
            <v>1.9</v>
          </cell>
          <cell r="EG109">
            <v>2</v>
          </cell>
        </row>
        <row r="110">
          <cell r="A110" t="str">
            <v>00350535All students</v>
          </cell>
          <cell r="B110" t="str">
            <v>00350535T</v>
          </cell>
          <cell r="C110" t="str">
            <v>0035</v>
          </cell>
          <cell r="D110" t="str">
            <v>00350535</v>
          </cell>
          <cell r="E110" t="str">
            <v>Boston</v>
          </cell>
          <cell r="F110" t="str">
            <v>The English High</v>
          </cell>
          <cell r="G110" t="str">
            <v>HS</v>
          </cell>
          <cell r="H110" t="str">
            <v>Boston - The English High (00350535)</v>
          </cell>
          <cell r="I110" t="str">
            <v>All students</v>
          </cell>
          <cell r="J110" t="str">
            <v>00350535All students</v>
          </cell>
          <cell r="K110" t="str">
            <v>Level 4</v>
          </cell>
          <cell r="L110">
            <v>75.7</v>
          </cell>
          <cell r="M110">
            <v>77.7</v>
          </cell>
          <cell r="N110">
            <v>77.099999999999994</v>
          </cell>
          <cell r="O110">
            <v>79.8</v>
          </cell>
          <cell r="P110">
            <v>83.4</v>
          </cell>
          <cell r="Q110">
            <v>83.1</v>
          </cell>
          <cell r="R110">
            <v>85.1</v>
          </cell>
          <cell r="S110">
            <v>87.1</v>
          </cell>
          <cell r="T110">
            <v>89.2</v>
          </cell>
          <cell r="U110">
            <v>66.5</v>
          </cell>
          <cell r="V110">
            <v>69.3</v>
          </cell>
          <cell r="W110">
            <v>62.8</v>
          </cell>
          <cell r="X110">
            <v>72.099999999999994</v>
          </cell>
          <cell r="Y110">
            <v>65.5</v>
          </cell>
          <cell r="Z110">
            <v>76.2</v>
          </cell>
          <cell r="AA110">
            <v>79</v>
          </cell>
          <cell r="AB110">
            <v>81.8</v>
          </cell>
          <cell r="AC110">
            <v>84.6</v>
          </cell>
          <cell r="AD110">
            <v>61.5</v>
          </cell>
          <cell r="AE110">
            <v>64.7</v>
          </cell>
          <cell r="AF110">
            <v>58.8</v>
          </cell>
          <cell r="AG110">
            <v>67.900000000000006</v>
          </cell>
          <cell r="AH110">
            <v>72.599999999999994</v>
          </cell>
          <cell r="AI110">
            <v>72.400000000000006</v>
          </cell>
          <cell r="AJ110">
            <v>75.599999999999994</v>
          </cell>
          <cell r="AK110">
            <v>78.8</v>
          </cell>
          <cell r="AL110">
            <v>82.1</v>
          </cell>
          <cell r="AM110">
            <v>59.8</v>
          </cell>
          <cell r="AN110">
            <v>62.3</v>
          </cell>
          <cell r="AO110">
            <v>50.3</v>
          </cell>
          <cell r="AP110">
            <v>52.8</v>
          </cell>
          <cell r="AQ110">
            <v>50.8</v>
          </cell>
          <cell r="AR110">
            <v>53.3</v>
          </cell>
          <cell r="AS110">
            <v>55.8</v>
          </cell>
          <cell r="AT110">
            <v>58.3</v>
          </cell>
          <cell r="AU110">
            <v>60.8</v>
          </cell>
          <cell r="AV110">
            <v>61.4</v>
          </cell>
          <cell r="AW110">
            <v>63.9</v>
          </cell>
          <cell r="AX110">
            <v>68.7</v>
          </cell>
          <cell r="AY110">
            <v>71.2</v>
          </cell>
          <cell r="AZ110">
            <v>63.8</v>
          </cell>
          <cell r="BA110">
            <v>66.3</v>
          </cell>
          <cell r="BB110">
            <v>68.8</v>
          </cell>
          <cell r="BC110">
            <v>71.3</v>
          </cell>
          <cell r="BD110">
            <v>73.8</v>
          </cell>
          <cell r="BE110">
            <v>5.5</v>
          </cell>
          <cell r="BF110">
            <v>5</v>
          </cell>
          <cell r="BG110">
            <v>5.7</v>
          </cell>
          <cell r="BH110">
            <v>4.5999999999999996</v>
          </cell>
          <cell r="BI110">
            <v>6.9</v>
          </cell>
          <cell r="BJ110">
            <v>1.1000000000000001</v>
          </cell>
          <cell r="BK110">
            <v>0.7</v>
          </cell>
          <cell r="BL110">
            <v>0.2</v>
          </cell>
          <cell r="BM110">
            <v>0</v>
          </cell>
          <cell r="BN110">
            <v>47.5</v>
          </cell>
          <cell r="BO110">
            <v>51</v>
          </cell>
          <cell r="BP110">
            <v>30</v>
          </cell>
          <cell r="BQ110">
            <v>40</v>
          </cell>
          <cell r="BR110">
            <v>44.5</v>
          </cell>
          <cell r="BS110">
            <v>59</v>
          </cell>
          <cell r="BT110">
            <v>60</v>
          </cell>
          <cell r="BU110">
            <v>60</v>
          </cell>
          <cell r="BV110">
            <v>60</v>
          </cell>
          <cell r="BW110">
            <v>45</v>
          </cell>
          <cell r="BX110">
            <v>51</v>
          </cell>
          <cell r="BY110">
            <v>65.5</v>
          </cell>
          <cell r="BZ110">
            <v>51</v>
          </cell>
          <cell r="CA110">
            <v>55</v>
          </cell>
          <cell r="CB110">
            <v>60</v>
          </cell>
          <cell r="CC110">
            <v>60</v>
          </cell>
          <cell r="CD110">
            <v>60</v>
          </cell>
          <cell r="CE110">
            <v>60</v>
          </cell>
          <cell r="CF110">
            <v>14.2</v>
          </cell>
          <cell r="CG110">
            <v>12.8</v>
          </cell>
          <cell r="CH110">
            <v>5.7</v>
          </cell>
          <cell r="CI110">
            <v>5.0999999999999996</v>
          </cell>
          <cell r="CJ110">
            <v>3.8</v>
          </cell>
          <cell r="CK110">
            <v>3.4</v>
          </cell>
          <cell r="CL110">
            <v>3.1</v>
          </cell>
          <cell r="CM110">
            <v>2.8</v>
          </cell>
          <cell r="CN110">
            <v>2.5</v>
          </cell>
          <cell r="CO110">
            <v>25.5</v>
          </cell>
          <cell r="CP110">
            <v>23</v>
          </cell>
          <cell r="CQ110">
            <v>33.1</v>
          </cell>
          <cell r="CR110">
            <v>29.8</v>
          </cell>
          <cell r="CS110">
            <v>35.4</v>
          </cell>
          <cell r="CT110">
            <v>31.9</v>
          </cell>
          <cell r="CU110">
            <v>28.7</v>
          </cell>
          <cell r="CV110">
            <v>25.8</v>
          </cell>
          <cell r="CW110">
            <v>23.2</v>
          </cell>
          <cell r="CX110">
            <v>23.6</v>
          </cell>
          <cell r="CY110">
            <v>21.2</v>
          </cell>
          <cell r="CZ110">
            <v>26.5</v>
          </cell>
          <cell r="DA110">
            <v>23.9</v>
          </cell>
          <cell r="DB110">
            <v>6.8</v>
          </cell>
          <cell r="DC110">
            <v>6.1</v>
          </cell>
          <cell r="DD110">
            <v>5.5</v>
          </cell>
          <cell r="DE110">
            <v>5</v>
          </cell>
          <cell r="DF110">
            <v>4.5</v>
          </cell>
          <cell r="DG110">
            <v>4.7</v>
          </cell>
          <cell r="DH110">
            <v>5.2</v>
          </cell>
          <cell r="DI110">
            <v>0</v>
          </cell>
          <cell r="DJ110">
            <v>1</v>
          </cell>
          <cell r="DK110">
            <v>6.3</v>
          </cell>
          <cell r="DL110">
            <v>6.9</v>
          </cell>
          <cell r="DM110">
            <v>7.6</v>
          </cell>
          <cell r="DN110">
            <v>8.4</v>
          </cell>
          <cell r="DO110">
            <v>9.1999999999999993</v>
          </cell>
          <cell r="DP110">
            <v>17.899999999999999</v>
          </cell>
          <cell r="DQ110">
            <v>19.7</v>
          </cell>
          <cell r="DR110">
            <v>9.5</v>
          </cell>
          <cell r="DS110">
            <v>10.5</v>
          </cell>
          <cell r="DT110">
            <v>11.4</v>
          </cell>
          <cell r="DU110">
            <v>12.5</v>
          </cell>
          <cell r="DV110">
            <v>13.8</v>
          </cell>
          <cell r="DW110">
            <v>15.2</v>
          </cell>
          <cell r="DX110">
            <v>16.7</v>
          </cell>
          <cell r="DY110">
            <v>2.2000000000000002</v>
          </cell>
          <cell r="DZ110">
            <v>2.4</v>
          </cell>
          <cell r="EA110">
            <v>0.7</v>
          </cell>
          <cell r="EB110">
            <v>0.8</v>
          </cell>
          <cell r="EC110">
            <v>1.4</v>
          </cell>
          <cell r="ED110">
            <v>1.5</v>
          </cell>
          <cell r="EE110">
            <v>1.7</v>
          </cell>
          <cell r="EF110">
            <v>1.9</v>
          </cell>
          <cell r="EG110">
            <v>2</v>
          </cell>
        </row>
        <row r="111">
          <cell r="A111" t="str">
            <v>00950145Asian</v>
          </cell>
          <cell r="B111" t="str">
            <v>00950145A</v>
          </cell>
          <cell r="C111" t="str">
            <v>0095</v>
          </cell>
          <cell r="D111" t="str">
            <v>00950145</v>
          </cell>
          <cell r="E111" t="str">
            <v>Fall River</v>
          </cell>
          <cell r="F111" t="str">
            <v>Samuel Watson</v>
          </cell>
          <cell r="G111" t="str">
            <v>ES</v>
          </cell>
          <cell r="H111" t="str">
            <v>Fall River - Samuel Watson (00950145)</v>
          </cell>
          <cell r="I111" t="str">
            <v>Asian</v>
          </cell>
          <cell r="J111" t="str">
            <v>00950145Asian</v>
          </cell>
          <cell r="K111" t="str">
            <v>--</v>
          </cell>
          <cell r="L111">
            <v>66.7</v>
          </cell>
          <cell r="M111">
            <v>69.5</v>
          </cell>
          <cell r="N111">
            <v>68.099999999999994</v>
          </cell>
          <cell r="O111">
            <v>72.3</v>
          </cell>
          <cell r="P111">
            <v>65.400000000000006</v>
          </cell>
          <cell r="Q111">
            <v>75</v>
          </cell>
          <cell r="R111">
            <v>77.8</v>
          </cell>
          <cell r="S111">
            <v>80.599999999999994</v>
          </cell>
          <cell r="T111">
            <v>83.4</v>
          </cell>
          <cell r="U111">
            <v>63.5</v>
          </cell>
          <cell r="V111">
            <v>66.5</v>
          </cell>
          <cell r="W111">
            <v>58.3</v>
          </cell>
          <cell r="X111">
            <v>69.599999999999994</v>
          </cell>
          <cell r="Y111">
            <v>61.5</v>
          </cell>
          <cell r="Z111">
            <v>72.599999999999994</v>
          </cell>
          <cell r="AA111">
            <v>75.7</v>
          </cell>
          <cell r="AB111">
            <v>78.7</v>
          </cell>
          <cell r="AC111">
            <v>81.8</v>
          </cell>
          <cell r="AD111" t="str">
            <v>--</v>
          </cell>
          <cell r="AE111" t="str">
            <v>--</v>
          </cell>
          <cell r="AF111" t="str">
            <v>--</v>
          </cell>
          <cell r="AG111" t="str">
            <v>--</v>
          </cell>
          <cell r="AH111" t="str">
            <v>--</v>
          </cell>
          <cell r="AI111" t="str">
            <v>--</v>
          </cell>
          <cell r="AJ111" t="str">
            <v>--</v>
          </cell>
          <cell r="AK111" t="str">
            <v>--</v>
          </cell>
          <cell r="AL111" t="str">
            <v>--</v>
          </cell>
          <cell r="AM111" t="str">
            <v>--</v>
          </cell>
          <cell r="AN111" t="str">
            <v>--</v>
          </cell>
          <cell r="AO111" t="str">
            <v>--</v>
          </cell>
          <cell r="AP111" t="str">
            <v>--</v>
          </cell>
          <cell r="AQ111" t="str">
            <v>--</v>
          </cell>
          <cell r="AR111" t="str">
            <v>--</v>
          </cell>
          <cell r="AS111" t="str">
            <v>--</v>
          </cell>
          <cell r="AT111" t="str">
            <v>--</v>
          </cell>
          <cell r="AU111" t="str">
            <v>--</v>
          </cell>
          <cell r="AV111" t="str">
            <v>--</v>
          </cell>
          <cell r="AW111" t="str">
            <v>--</v>
          </cell>
          <cell r="AX111" t="str">
            <v>--</v>
          </cell>
          <cell r="AY111" t="str">
            <v>--</v>
          </cell>
          <cell r="AZ111" t="str">
            <v>--</v>
          </cell>
          <cell r="BA111" t="str">
            <v>--</v>
          </cell>
          <cell r="BB111" t="str">
            <v>--</v>
          </cell>
          <cell r="BC111" t="str">
            <v>--</v>
          </cell>
          <cell r="BD111" t="str">
            <v>--</v>
          </cell>
          <cell r="BE111" t="str">
            <v>--</v>
          </cell>
          <cell r="BF111" t="str">
            <v>--</v>
          </cell>
          <cell r="BG111" t="str">
            <v>--</v>
          </cell>
          <cell r="BH111" t="str">
            <v>--</v>
          </cell>
          <cell r="BI111" t="str">
            <v>--</v>
          </cell>
          <cell r="BJ111" t="str">
            <v>--</v>
          </cell>
          <cell r="BK111" t="str">
            <v>--</v>
          </cell>
          <cell r="BL111" t="str">
            <v>--</v>
          </cell>
          <cell r="BM111" t="str">
            <v>--</v>
          </cell>
          <cell r="BN111" t="str">
            <v>--</v>
          </cell>
          <cell r="BO111" t="str">
            <v>--</v>
          </cell>
          <cell r="BP111" t="str">
            <v>--</v>
          </cell>
          <cell r="BQ111" t="str">
            <v>--</v>
          </cell>
          <cell r="BR111" t="str">
            <v>--</v>
          </cell>
          <cell r="BS111" t="str">
            <v>--</v>
          </cell>
          <cell r="BT111" t="str">
            <v>--</v>
          </cell>
          <cell r="BU111" t="str">
            <v>--</v>
          </cell>
          <cell r="BV111" t="str">
            <v>--</v>
          </cell>
          <cell r="BW111" t="str">
            <v>--</v>
          </cell>
          <cell r="BX111" t="str">
            <v>--</v>
          </cell>
          <cell r="BY111" t="str">
            <v>--</v>
          </cell>
          <cell r="BZ111" t="str">
            <v>--</v>
          </cell>
          <cell r="CA111" t="str">
            <v>--</v>
          </cell>
          <cell r="CB111" t="str">
            <v>--</v>
          </cell>
          <cell r="CC111" t="str">
            <v>--</v>
          </cell>
          <cell r="CD111" t="str">
            <v>--</v>
          </cell>
          <cell r="CE111" t="str">
            <v>--</v>
          </cell>
          <cell r="CF111">
            <v>20.8</v>
          </cell>
          <cell r="CG111">
            <v>18.7</v>
          </cell>
          <cell r="CH111">
            <v>16.7</v>
          </cell>
          <cell r="CI111">
            <v>18.7</v>
          </cell>
          <cell r="CJ111">
            <v>15.4</v>
          </cell>
          <cell r="CK111" t="str">
            <v>--</v>
          </cell>
          <cell r="CL111" t="str">
            <v>--</v>
          </cell>
          <cell r="CM111" t="str">
            <v>--</v>
          </cell>
          <cell r="CN111" t="str">
            <v>--</v>
          </cell>
          <cell r="CO111">
            <v>25</v>
          </cell>
          <cell r="CP111">
            <v>22.5</v>
          </cell>
          <cell r="CQ111">
            <v>33.299999999999997</v>
          </cell>
          <cell r="CR111">
            <v>22.5</v>
          </cell>
          <cell r="CS111">
            <v>23.1</v>
          </cell>
          <cell r="CT111" t="str">
            <v>--</v>
          </cell>
          <cell r="CU111" t="str">
            <v>--</v>
          </cell>
          <cell r="CV111" t="str">
            <v>--</v>
          </cell>
          <cell r="CW111" t="str">
            <v>--</v>
          </cell>
          <cell r="CX111" t="str">
            <v>--</v>
          </cell>
          <cell r="CY111" t="str">
            <v>--</v>
          </cell>
          <cell r="CZ111" t="str">
            <v>--</v>
          </cell>
          <cell r="DA111" t="str">
            <v>--</v>
          </cell>
          <cell r="DB111" t="str">
            <v>--</v>
          </cell>
          <cell r="DC111" t="str">
            <v>--</v>
          </cell>
          <cell r="DD111" t="str">
            <v>--</v>
          </cell>
          <cell r="DE111" t="str">
            <v>--</v>
          </cell>
          <cell r="DF111" t="str">
            <v>--</v>
          </cell>
          <cell r="DG111">
            <v>0</v>
          </cell>
          <cell r="DH111">
            <v>1</v>
          </cell>
          <cell r="DI111">
            <v>0</v>
          </cell>
          <cell r="DJ111">
            <v>1</v>
          </cell>
          <cell r="DK111">
            <v>0</v>
          </cell>
          <cell r="DL111" t="str">
            <v>--</v>
          </cell>
          <cell r="DM111" t="str">
            <v>--</v>
          </cell>
          <cell r="DN111" t="str">
            <v>--</v>
          </cell>
          <cell r="DO111" t="str">
            <v>--</v>
          </cell>
          <cell r="DP111">
            <v>8.3000000000000007</v>
          </cell>
          <cell r="DQ111">
            <v>9.1</v>
          </cell>
          <cell r="DR111">
            <v>0</v>
          </cell>
          <cell r="DS111">
            <v>9.1</v>
          </cell>
          <cell r="DT111">
            <v>0</v>
          </cell>
          <cell r="DU111" t="str">
            <v>--</v>
          </cell>
          <cell r="DV111" t="str">
            <v>--</v>
          </cell>
          <cell r="DW111" t="str">
            <v>--</v>
          </cell>
          <cell r="DX111" t="str">
            <v>--</v>
          </cell>
          <cell r="DY111" t="str">
            <v>--</v>
          </cell>
          <cell r="DZ111" t="str">
            <v>--</v>
          </cell>
          <cell r="EA111" t="str">
            <v>--</v>
          </cell>
          <cell r="EB111" t="str">
            <v>--</v>
          </cell>
          <cell r="EC111" t="str">
            <v>--</v>
          </cell>
          <cell r="ED111" t="str">
            <v>--</v>
          </cell>
          <cell r="EE111" t="str">
            <v>--</v>
          </cell>
          <cell r="EF111" t="str">
            <v>--</v>
          </cell>
          <cell r="EG111" t="str">
            <v>--</v>
          </cell>
        </row>
        <row r="112">
          <cell r="A112" t="str">
            <v>00950145Afr. Amer/Black</v>
          </cell>
          <cell r="B112" t="str">
            <v>00950145B</v>
          </cell>
          <cell r="C112" t="str">
            <v>0095</v>
          </cell>
          <cell r="D112" t="str">
            <v>00950145</v>
          </cell>
          <cell r="E112" t="str">
            <v>Fall River</v>
          </cell>
          <cell r="F112" t="str">
            <v>Samuel Watson</v>
          </cell>
          <cell r="G112" t="str">
            <v>ES</v>
          </cell>
          <cell r="H112" t="str">
            <v>Fall River - Samuel Watson (00950145)</v>
          </cell>
          <cell r="I112" t="str">
            <v>Afr. Amer/Black</v>
          </cell>
          <cell r="J112" t="str">
            <v>00950145Afr. Amer/Black</v>
          </cell>
          <cell r="K112" t="str">
            <v>--</v>
          </cell>
          <cell r="L112" t="str">
            <v>--</v>
          </cell>
          <cell r="M112" t="str">
            <v>--</v>
          </cell>
          <cell r="N112" t="str">
            <v>--</v>
          </cell>
          <cell r="O112" t="str">
            <v>--</v>
          </cell>
          <cell r="P112" t="str">
            <v>--</v>
          </cell>
          <cell r="Q112" t="str">
            <v>--</v>
          </cell>
          <cell r="R112" t="str">
            <v>--</v>
          </cell>
          <cell r="S112" t="str">
            <v>--</v>
          </cell>
          <cell r="T112" t="str">
            <v>--</v>
          </cell>
          <cell r="U112" t="str">
            <v>--</v>
          </cell>
          <cell r="V112" t="str">
            <v>--</v>
          </cell>
          <cell r="W112" t="str">
            <v>--</v>
          </cell>
          <cell r="X112" t="str">
            <v>--</v>
          </cell>
          <cell r="Y112" t="str">
            <v>--</v>
          </cell>
          <cell r="Z112" t="str">
            <v>--</v>
          </cell>
          <cell r="AA112" t="str">
            <v>--</v>
          </cell>
          <cell r="AB112" t="str">
            <v>--</v>
          </cell>
          <cell r="AC112" t="str">
            <v>--</v>
          </cell>
          <cell r="AD112" t="str">
            <v>--</v>
          </cell>
          <cell r="AE112" t="str">
            <v>--</v>
          </cell>
          <cell r="AF112" t="str">
            <v>--</v>
          </cell>
          <cell r="AG112" t="str">
            <v>--</v>
          </cell>
          <cell r="AH112" t="str">
            <v>--</v>
          </cell>
          <cell r="AI112" t="str">
            <v>--</v>
          </cell>
          <cell r="AJ112" t="str">
            <v>--</v>
          </cell>
          <cell r="AK112" t="str">
            <v>--</v>
          </cell>
          <cell r="AL112" t="str">
            <v>--</v>
          </cell>
          <cell r="AM112" t="str">
            <v>--</v>
          </cell>
          <cell r="AN112" t="str">
            <v>--</v>
          </cell>
          <cell r="AO112" t="str">
            <v>--</v>
          </cell>
          <cell r="AP112" t="str">
            <v>--</v>
          </cell>
          <cell r="AQ112" t="str">
            <v>--</v>
          </cell>
          <cell r="AR112" t="str">
            <v>--</v>
          </cell>
          <cell r="AS112" t="str">
            <v>--</v>
          </cell>
          <cell r="AT112" t="str">
            <v>--</v>
          </cell>
          <cell r="AU112" t="str">
            <v>--</v>
          </cell>
          <cell r="AV112" t="str">
            <v>--</v>
          </cell>
          <cell r="AW112" t="str">
            <v>--</v>
          </cell>
          <cell r="AX112" t="str">
            <v>--</v>
          </cell>
          <cell r="AY112" t="str">
            <v>--</v>
          </cell>
          <cell r="AZ112" t="str">
            <v>--</v>
          </cell>
          <cell r="BA112" t="str">
            <v>--</v>
          </cell>
          <cell r="BB112" t="str">
            <v>--</v>
          </cell>
          <cell r="BC112" t="str">
            <v>--</v>
          </cell>
          <cell r="BD112" t="str">
            <v>--</v>
          </cell>
          <cell r="BE112" t="str">
            <v>--</v>
          </cell>
          <cell r="BF112" t="str">
            <v>--</v>
          </cell>
          <cell r="BG112" t="str">
            <v>--</v>
          </cell>
          <cell r="BH112" t="str">
            <v>--</v>
          </cell>
          <cell r="BI112" t="str">
            <v>--</v>
          </cell>
          <cell r="BJ112" t="str">
            <v>--</v>
          </cell>
          <cell r="BK112" t="str">
            <v>--</v>
          </cell>
          <cell r="BL112" t="str">
            <v>--</v>
          </cell>
          <cell r="BM112" t="str">
            <v>--</v>
          </cell>
          <cell r="BN112" t="str">
            <v>--</v>
          </cell>
          <cell r="BO112" t="str">
            <v>--</v>
          </cell>
          <cell r="BP112" t="str">
            <v>--</v>
          </cell>
          <cell r="BQ112" t="str">
            <v>--</v>
          </cell>
          <cell r="BR112" t="str">
            <v>--</v>
          </cell>
          <cell r="BS112" t="str">
            <v>--</v>
          </cell>
          <cell r="BT112" t="str">
            <v>--</v>
          </cell>
          <cell r="BU112" t="str">
            <v>--</v>
          </cell>
          <cell r="BV112" t="str">
            <v>--</v>
          </cell>
          <cell r="BW112" t="str">
            <v>--</v>
          </cell>
          <cell r="BX112" t="str">
            <v>--</v>
          </cell>
          <cell r="BY112" t="str">
            <v>--</v>
          </cell>
          <cell r="BZ112" t="str">
            <v>--</v>
          </cell>
          <cell r="CA112" t="str">
            <v>--</v>
          </cell>
          <cell r="CB112" t="str">
            <v>--</v>
          </cell>
          <cell r="CC112" t="str">
            <v>--</v>
          </cell>
          <cell r="CD112" t="str">
            <v>--</v>
          </cell>
          <cell r="CE112" t="str">
            <v>--</v>
          </cell>
          <cell r="CF112" t="str">
            <v>--</v>
          </cell>
          <cell r="CG112" t="str">
            <v>--</v>
          </cell>
          <cell r="CH112" t="str">
            <v>--</v>
          </cell>
          <cell r="CI112" t="str">
            <v>--</v>
          </cell>
          <cell r="CJ112" t="str">
            <v>--</v>
          </cell>
          <cell r="CK112" t="str">
            <v>--</v>
          </cell>
          <cell r="CL112" t="str">
            <v>--</v>
          </cell>
          <cell r="CM112" t="str">
            <v>--</v>
          </cell>
          <cell r="CN112" t="str">
            <v>--</v>
          </cell>
          <cell r="CO112" t="str">
            <v>--</v>
          </cell>
          <cell r="CP112" t="str">
            <v>--</v>
          </cell>
          <cell r="CQ112" t="str">
            <v>--</v>
          </cell>
          <cell r="CR112" t="str">
            <v>--</v>
          </cell>
          <cell r="CS112" t="str">
            <v>--</v>
          </cell>
          <cell r="CT112" t="str">
            <v>--</v>
          </cell>
          <cell r="CU112" t="str">
            <v>--</v>
          </cell>
          <cell r="CV112" t="str">
            <v>--</v>
          </cell>
          <cell r="CW112" t="str">
            <v>--</v>
          </cell>
          <cell r="CX112" t="str">
            <v>--</v>
          </cell>
          <cell r="CY112" t="str">
            <v>--</v>
          </cell>
          <cell r="CZ112" t="str">
            <v>--</v>
          </cell>
          <cell r="DA112" t="str">
            <v>--</v>
          </cell>
          <cell r="DB112" t="str">
            <v>--</v>
          </cell>
          <cell r="DC112" t="str">
            <v>--</v>
          </cell>
          <cell r="DD112" t="str">
            <v>--</v>
          </cell>
          <cell r="DE112" t="str">
            <v>--</v>
          </cell>
          <cell r="DF112" t="str">
            <v>--</v>
          </cell>
          <cell r="DG112" t="str">
            <v>--</v>
          </cell>
          <cell r="DH112" t="str">
            <v>--</v>
          </cell>
          <cell r="DI112" t="str">
            <v>--</v>
          </cell>
          <cell r="DJ112" t="str">
            <v>--</v>
          </cell>
          <cell r="DK112" t="str">
            <v>--</v>
          </cell>
          <cell r="DL112" t="str">
            <v>--</v>
          </cell>
          <cell r="DM112" t="str">
            <v>--</v>
          </cell>
          <cell r="DN112" t="str">
            <v>--</v>
          </cell>
          <cell r="DO112" t="str">
            <v>--</v>
          </cell>
          <cell r="DP112" t="str">
            <v>--</v>
          </cell>
          <cell r="DQ112" t="str">
            <v>--</v>
          </cell>
          <cell r="DR112" t="str">
            <v>--</v>
          </cell>
          <cell r="DS112" t="str">
            <v>--</v>
          </cell>
          <cell r="DT112" t="str">
            <v>--</v>
          </cell>
          <cell r="DU112" t="str">
            <v>--</v>
          </cell>
          <cell r="DV112" t="str">
            <v>--</v>
          </cell>
          <cell r="DW112" t="str">
            <v>--</v>
          </cell>
          <cell r="DX112" t="str">
            <v>--</v>
          </cell>
          <cell r="DY112" t="str">
            <v>--</v>
          </cell>
          <cell r="DZ112" t="str">
            <v>--</v>
          </cell>
          <cell r="EA112" t="str">
            <v>--</v>
          </cell>
          <cell r="EB112" t="str">
            <v>--</v>
          </cell>
          <cell r="EC112" t="str">
            <v>--</v>
          </cell>
          <cell r="ED112" t="str">
            <v>--</v>
          </cell>
          <cell r="EE112" t="str">
            <v>--</v>
          </cell>
          <cell r="EF112" t="str">
            <v>--</v>
          </cell>
          <cell r="EG112" t="str">
            <v>--</v>
          </cell>
        </row>
        <row r="113">
          <cell r="A113" t="str">
            <v>00950145White</v>
          </cell>
          <cell r="B113" t="str">
            <v>00950145C</v>
          </cell>
          <cell r="C113" t="str">
            <v>0095</v>
          </cell>
          <cell r="D113" t="str">
            <v>00950145</v>
          </cell>
          <cell r="E113" t="str">
            <v>Fall River</v>
          </cell>
          <cell r="F113" t="str">
            <v>Samuel Watson</v>
          </cell>
          <cell r="G113" t="str">
            <v>ES</v>
          </cell>
          <cell r="H113" t="str">
            <v>Fall River - Samuel Watson (00950145)</v>
          </cell>
          <cell r="I113" t="str">
            <v>White</v>
          </cell>
          <cell r="J113" t="str">
            <v>00950145White</v>
          </cell>
          <cell r="K113" t="str">
            <v>--</v>
          </cell>
          <cell r="L113">
            <v>62.8</v>
          </cell>
          <cell r="M113">
            <v>65.900000000000006</v>
          </cell>
          <cell r="N113">
            <v>57.2</v>
          </cell>
          <cell r="O113">
            <v>69</v>
          </cell>
          <cell r="P113">
            <v>57.1</v>
          </cell>
          <cell r="Q113">
            <v>72.099999999999994</v>
          </cell>
          <cell r="R113">
            <v>75.2</v>
          </cell>
          <cell r="S113">
            <v>78.3</v>
          </cell>
          <cell r="T113">
            <v>81.400000000000006</v>
          </cell>
          <cell r="U113">
            <v>57.6</v>
          </cell>
          <cell r="V113">
            <v>61.1</v>
          </cell>
          <cell r="W113">
            <v>51.3</v>
          </cell>
          <cell r="X113">
            <v>64.7</v>
          </cell>
          <cell r="Y113">
            <v>46.4</v>
          </cell>
          <cell r="Z113">
            <v>68.2</v>
          </cell>
          <cell r="AA113">
            <v>71.7</v>
          </cell>
          <cell r="AB113">
            <v>75.3</v>
          </cell>
          <cell r="AC113">
            <v>78.8</v>
          </cell>
          <cell r="AD113">
            <v>72.7</v>
          </cell>
          <cell r="AE113">
            <v>75</v>
          </cell>
          <cell r="AF113">
            <v>48.1</v>
          </cell>
          <cell r="AG113">
            <v>77.3</v>
          </cell>
          <cell r="AH113">
            <v>44.8</v>
          </cell>
          <cell r="AI113">
            <v>79.5</v>
          </cell>
          <cell r="AJ113">
            <v>81.8</v>
          </cell>
          <cell r="AK113">
            <v>84.1</v>
          </cell>
          <cell r="AL113">
            <v>86.4</v>
          </cell>
          <cell r="AM113" t="str">
            <v>--</v>
          </cell>
          <cell r="AN113" t="str">
            <v>--</v>
          </cell>
          <cell r="AO113" t="str">
            <v>--</v>
          </cell>
          <cell r="AP113" t="str">
            <v>--</v>
          </cell>
          <cell r="AQ113" t="str">
            <v>--</v>
          </cell>
          <cell r="AR113" t="str">
            <v>--</v>
          </cell>
          <cell r="AS113" t="str">
            <v>--</v>
          </cell>
          <cell r="AT113" t="str">
            <v>--</v>
          </cell>
          <cell r="AU113" t="str">
            <v>--</v>
          </cell>
          <cell r="AV113" t="str">
            <v>--</v>
          </cell>
          <cell r="AW113" t="str">
            <v>--</v>
          </cell>
          <cell r="AX113" t="str">
            <v>--</v>
          </cell>
          <cell r="AY113" t="str">
            <v>--</v>
          </cell>
          <cell r="AZ113" t="str">
            <v>--</v>
          </cell>
          <cell r="BA113" t="str">
            <v>--</v>
          </cell>
          <cell r="BB113" t="str">
            <v>--</v>
          </cell>
          <cell r="BC113" t="str">
            <v>--</v>
          </cell>
          <cell r="BD113" t="str">
            <v>--</v>
          </cell>
          <cell r="BE113" t="str">
            <v>--</v>
          </cell>
          <cell r="BF113" t="str">
            <v>--</v>
          </cell>
          <cell r="BG113" t="str">
            <v>--</v>
          </cell>
          <cell r="BH113" t="str">
            <v>--</v>
          </cell>
          <cell r="BI113" t="str">
            <v>--</v>
          </cell>
          <cell r="BJ113" t="str">
            <v>--</v>
          </cell>
          <cell r="BK113" t="str">
            <v>--</v>
          </cell>
          <cell r="BL113" t="str">
            <v>--</v>
          </cell>
          <cell r="BM113" t="str">
            <v>--</v>
          </cell>
          <cell r="BN113">
            <v>30</v>
          </cell>
          <cell r="BO113">
            <v>40</v>
          </cell>
          <cell r="BP113">
            <v>31</v>
          </cell>
          <cell r="BQ113">
            <v>41</v>
          </cell>
          <cell r="BR113">
            <v>38</v>
          </cell>
          <cell r="BS113">
            <v>48</v>
          </cell>
          <cell r="BT113">
            <v>51</v>
          </cell>
          <cell r="BU113">
            <v>51</v>
          </cell>
          <cell r="BV113">
            <v>51</v>
          </cell>
          <cell r="BW113">
            <v>27</v>
          </cell>
          <cell r="BX113">
            <v>37</v>
          </cell>
          <cell r="BY113">
            <v>44</v>
          </cell>
          <cell r="BZ113">
            <v>51</v>
          </cell>
          <cell r="CA113">
            <v>32.5</v>
          </cell>
          <cell r="CB113">
            <v>42.5</v>
          </cell>
          <cell r="CC113">
            <v>51</v>
          </cell>
          <cell r="CD113">
            <v>51</v>
          </cell>
          <cell r="CE113">
            <v>51</v>
          </cell>
          <cell r="CF113">
            <v>24.4</v>
          </cell>
          <cell r="CG113">
            <v>22</v>
          </cell>
          <cell r="CH113">
            <v>32.9</v>
          </cell>
          <cell r="CI113">
            <v>29.6</v>
          </cell>
          <cell r="CJ113">
            <v>31.2</v>
          </cell>
          <cell r="CK113">
            <v>28.1</v>
          </cell>
          <cell r="CL113">
            <v>25.3</v>
          </cell>
          <cell r="CM113">
            <v>22.7</v>
          </cell>
          <cell r="CN113">
            <v>20.5</v>
          </cell>
          <cell r="CO113">
            <v>30.2</v>
          </cell>
          <cell r="CP113">
            <v>27.2</v>
          </cell>
          <cell r="CQ113">
            <v>35.5</v>
          </cell>
          <cell r="CR113">
            <v>32</v>
          </cell>
          <cell r="CS113">
            <v>44.7</v>
          </cell>
          <cell r="CT113">
            <v>40.200000000000003</v>
          </cell>
          <cell r="CU113">
            <v>36.200000000000003</v>
          </cell>
          <cell r="CV113">
            <v>32.6</v>
          </cell>
          <cell r="CW113">
            <v>29.3</v>
          </cell>
          <cell r="CX113">
            <v>18.8</v>
          </cell>
          <cell r="CY113">
            <v>16.899999999999999</v>
          </cell>
          <cell r="CZ113">
            <v>44.4</v>
          </cell>
          <cell r="DA113">
            <v>40</v>
          </cell>
          <cell r="DB113">
            <v>50</v>
          </cell>
          <cell r="DC113">
            <v>45</v>
          </cell>
          <cell r="DD113">
            <v>40.5</v>
          </cell>
          <cell r="DE113">
            <v>36.5</v>
          </cell>
          <cell r="DF113">
            <v>32.799999999999997</v>
          </cell>
          <cell r="DG113">
            <v>3.5</v>
          </cell>
          <cell r="DH113">
            <v>3.9</v>
          </cell>
          <cell r="DI113">
            <v>1.3</v>
          </cell>
          <cell r="DJ113">
            <v>1.4</v>
          </cell>
          <cell r="DK113">
            <v>0</v>
          </cell>
          <cell r="DL113">
            <v>1</v>
          </cell>
          <cell r="DM113">
            <v>1.1000000000000001</v>
          </cell>
          <cell r="DN113">
            <v>1.2</v>
          </cell>
          <cell r="DO113">
            <v>1.3</v>
          </cell>
          <cell r="DP113">
            <v>3.5</v>
          </cell>
          <cell r="DQ113">
            <v>3.9</v>
          </cell>
          <cell r="DR113">
            <v>0</v>
          </cell>
          <cell r="DS113">
            <v>1</v>
          </cell>
          <cell r="DT113">
            <v>0</v>
          </cell>
          <cell r="DU113">
            <v>1</v>
          </cell>
          <cell r="DV113">
            <v>1.1000000000000001</v>
          </cell>
          <cell r="DW113">
            <v>1.2</v>
          </cell>
          <cell r="DX113">
            <v>1.3</v>
          </cell>
          <cell r="DY113">
            <v>3.1</v>
          </cell>
          <cell r="DZ113">
            <v>3.4</v>
          </cell>
          <cell r="EA113">
            <v>0</v>
          </cell>
          <cell r="EB113">
            <v>1</v>
          </cell>
          <cell r="EC113">
            <v>0</v>
          </cell>
          <cell r="ED113">
            <v>1</v>
          </cell>
          <cell r="EE113">
            <v>1.1000000000000001</v>
          </cell>
          <cell r="EF113">
            <v>1.2</v>
          </cell>
          <cell r="EG113">
            <v>1.3</v>
          </cell>
        </row>
        <row r="114">
          <cell r="A114" t="str">
            <v>00950145Students w/disabilities</v>
          </cell>
          <cell r="B114" t="str">
            <v>00950145D</v>
          </cell>
          <cell r="C114" t="str">
            <v>0095</v>
          </cell>
          <cell r="D114" t="str">
            <v>00950145</v>
          </cell>
          <cell r="E114" t="str">
            <v>Fall River</v>
          </cell>
          <cell r="F114" t="str">
            <v>Samuel Watson</v>
          </cell>
          <cell r="G114" t="str">
            <v>ES</v>
          </cell>
          <cell r="H114" t="str">
            <v>Fall River - Samuel Watson (00950145)</v>
          </cell>
          <cell r="I114" t="str">
            <v>Students w/disabilities</v>
          </cell>
          <cell r="J114" t="str">
            <v>00950145Students w/disabilities</v>
          </cell>
          <cell r="K114" t="str">
            <v>--</v>
          </cell>
          <cell r="L114">
            <v>36.200000000000003</v>
          </cell>
          <cell r="M114">
            <v>41.5</v>
          </cell>
          <cell r="N114">
            <v>32.1</v>
          </cell>
          <cell r="O114">
            <v>46.8</v>
          </cell>
          <cell r="P114">
            <v>30.4</v>
          </cell>
          <cell r="Q114">
            <v>52.2</v>
          </cell>
          <cell r="R114">
            <v>57.5</v>
          </cell>
          <cell r="S114">
            <v>62.8</v>
          </cell>
          <cell r="T114">
            <v>68.099999999999994</v>
          </cell>
          <cell r="U114">
            <v>34.200000000000003</v>
          </cell>
          <cell r="V114">
            <v>39.700000000000003</v>
          </cell>
          <cell r="W114">
            <v>30.7</v>
          </cell>
          <cell r="X114">
            <v>45.2</v>
          </cell>
          <cell r="Y114">
            <v>27.1</v>
          </cell>
          <cell r="Z114">
            <v>50.7</v>
          </cell>
          <cell r="AA114">
            <v>56.1</v>
          </cell>
          <cell r="AB114">
            <v>61.6</v>
          </cell>
          <cell r="AC114">
            <v>67.099999999999994</v>
          </cell>
          <cell r="AD114" t="str">
            <v>--</v>
          </cell>
          <cell r="AE114" t="str">
            <v>--</v>
          </cell>
          <cell r="AF114" t="str">
            <v>--</v>
          </cell>
          <cell r="AG114" t="str">
            <v>--</v>
          </cell>
          <cell r="AH114" t="str">
            <v>--</v>
          </cell>
          <cell r="AI114" t="str">
            <v>--</v>
          </cell>
          <cell r="AJ114" t="str">
            <v>--</v>
          </cell>
          <cell r="AK114" t="str">
            <v>--</v>
          </cell>
          <cell r="AL114" t="str">
            <v>--</v>
          </cell>
          <cell r="AM114" t="str">
            <v>--</v>
          </cell>
          <cell r="AN114" t="str">
            <v>--</v>
          </cell>
          <cell r="AO114" t="str">
            <v>--</v>
          </cell>
          <cell r="AP114" t="str">
            <v>--</v>
          </cell>
          <cell r="AQ114" t="str">
            <v>--</v>
          </cell>
          <cell r="AR114" t="str">
            <v>--</v>
          </cell>
          <cell r="AS114" t="str">
            <v>--</v>
          </cell>
          <cell r="AT114" t="str">
            <v>--</v>
          </cell>
          <cell r="AU114" t="str">
            <v>--</v>
          </cell>
          <cell r="AV114" t="str">
            <v>--</v>
          </cell>
          <cell r="AW114" t="str">
            <v>--</v>
          </cell>
          <cell r="AX114" t="str">
            <v>--</v>
          </cell>
          <cell r="AY114" t="str">
            <v>--</v>
          </cell>
          <cell r="AZ114" t="str">
            <v>--</v>
          </cell>
          <cell r="BA114" t="str">
            <v>--</v>
          </cell>
          <cell r="BB114" t="str">
            <v>--</v>
          </cell>
          <cell r="BC114" t="str">
            <v>--</v>
          </cell>
          <cell r="BD114" t="str">
            <v>--</v>
          </cell>
          <cell r="BE114" t="str">
            <v>--</v>
          </cell>
          <cell r="BF114" t="str">
            <v>--</v>
          </cell>
          <cell r="BG114" t="str">
            <v>--</v>
          </cell>
          <cell r="BH114" t="str">
            <v>--</v>
          </cell>
          <cell r="BI114" t="str">
            <v>--</v>
          </cell>
          <cell r="BJ114" t="str">
            <v>--</v>
          </cell>
          <cell r="BK114" t="str">
            <v>--</v>
          </cell>
          <cell r="BL114" t="str">
            <v>--</v>
          </cell>
          <cell r="BM114" t="str">
            <v>--</v>
          </cell>
          <cell r="BN114" t="str">
            <v>--</v>
          </cell>
          <cell r="BO114" t="str">
            <v>--</v>
          </cell>
          <cell r="BP114" t="str">
            <v>--</v>
          </cell>
          <cell r="BQ114" t="str">
            <v>--</v>
          </cell>
          <cell r="BR114" t="str">
            <v>--</v>
          </cell>
          <cell r="BS114" t="str">
            <v>--</v>
          </cell>
          <cell r="BT114" t="str">
            <v>--</v>
          </cell>
          <cell r="BU114" t="str">
            <v>--</v>
          </cell>
          <cell r="BV114" t="str">
            <v>--</v>
          </cell>
          <cell r="BW114" t="str">
            <v>--</v>
          </cell>
          <cell r="BX114" t="str">
            <v>--</v>
          </cell>
          <cell r="BY114" t="str">
            <v>--</v>
          </cell>
          <cell r="BZ114" t="str">
            <v>--</v>
          </cell>
          <cell r="CA114" t="str">
            <v>--</v>
          </cell>
          <cell r="CB114" t="str">
            <v>--</v>
          </cell>
          <cell r="CC114" t="str">
            <v>--</v>
          </cell>
          <cell r="CD114" t="str">
            <v>--</v>
          </cell>
          <cell r="CE114" t="str">
            <v>--</v>
          </cell>
          <cell r="CF114">
            <v>65.8</v>
          </cell>
          <cell r="CG114">
            <v>59.2</v>
          </cell>
          <cell r="CH114">
            <v>77.099999999999994</v>
          </cell>
          <cell r="CI114">
            <v>69.400000000000006</v>
          </cell>
          <cell r="CJ114">
            <v>73</v>
          </cell>
          <cell r="CK114">
            <v>65.7</v>
          </cell>
          <cell r="CL114">
            <v>59.1</v>
          </cell>
          <cell r="CM114">
            <v>53.2</v>
          </cell>
          <cell r="CN114">
            <v>47.9</v>
          </cell>
          <cell r="CO114">
            <v>63.2</v>
          </cell>
          <cell r="CP114">
            <v>56.9</v>
          </cell>
          <cell r="CQ114">
            <v>65.7</v>
          </cell>
          <cell r="CR114">
            <v>59.1</v>
          </cell>
          <cell r="CS114">
            <v>77.8</v>
          </cell>
          <cell r="CT114">
            <v>70</v>
          </cell>
          <cell r="CU114">
            <v>63</v>
          </cell>
          <cell r="CV114">
            <v>56.7</v>
          </cell>
          <cell r="CW114">
            <v>51</v>
          </cell>
          <cell r="CX114" t="str">
            <v>--</v>
          </cell>
          <cell r="CY114" t="str">
            <v>--</v>
          </cell>
          <cell r="CZ114" t="str">
            <v>--</v>
          </cell>
          <cell r="DA114" t="str">
            <v>--</v>
          </cell>
          <cell r="DB114" t="str">
            <v>--</v>
          </cell>
          <cell r="DC114" t="str">
            <v>--</v>
          </cell>
          <cell r="DD114" t="str">
            <v>--</v>
          </cell>
          <cell r="DE114" t="str">
            <v>--</v>
          </cell>
          <cell r="DF114" t="str">
            <v>--</v>
          </cell>
          <cell r="DG114">
            <v>0</v>
          </cell>
          <cell r="DH114">
            <v>1</v>
          </cell>
          <cell r="DI114">
            <v>0</v>
          </cell>
          <cell r="DJ114">
            <v>1</v>
          </cell>
          <cell r="DK114">
            <v>0</v>
          </cell>
          <cell r="DL114">
            <v>1</v>
          </cell>
          <cell r="DM114">
            <v>1.1000000000000001</v>
          </cell>
          <cell r="DN114">
            <v>1.2</v>
          </cell>
          <cell r="DO114">
            <v>1.3</v>
          </cell>
          <cell r="DP114">
            <v>0</v>
          </cell>
          <cell r="DQ114">
            <v>1</v>
          </cell>
          <cell r="DR114">
            <v>0</v>
          </cell>
          <cell r="DS114">
            <v>1</v>
          </cell>
          <cell r="DT114">
            <v>0</v>
          </cell>
          <cell r="DU114">
            <v>1</v>
          </cell>
          <cell r="DV114">
            <v>1.1000000000000001</v>
          </cell>
          <cell r="DW114">
            <v>1.2</v>
          </cell>
          <cell r="DX114">
            <v>1.3</v>
          </cell>
          <cell r="DY114" t="str">
            <v>--</v>
          </cell>
          <cell r="DZ114" t="str">
            <v>--</v>
          </cell>
          <cell r="EA114" t="str">
            <v>--</v>
          </cell>
          <cell r="EB114" t="str">
            <v>--</v>
          </cell>
          <cell r="EC114" t="str">
            <v>--</v>
          </cell>
          <cell r="ED114" t="str">
            <v>--</v>
          </cell>
          <cell r="EE114" t="str">
            <v>--</v>
          </cell>
          <cell r="EF114" t="str">
            <v>--</v>
          </cell>
          <cell r="EG114" t="str">
            <v>--</v>
          </cell>
        </row>
        <row r="115">
          <cell r="A115" t="str">
            <v>00950145Low income</v>
          </cell>
          <cell r="B115" t="str">
            <v>00950145F</v>
          </cell>
          <cell r="C115" t="str">
            <v>0095</v>
          </cell>
          <cell r="D115" t="str">
            <v>00950145</v>
          </cell>
          <cell r="E115" t="str">
            <v>Fall River</v>
          </cell>
          <cell r="F115" t="str">
            <v>Samuel Watson</v>
          </cell>
          <cell r="G115" t="str">
            <v>ES</v>
          </cell>
          <cell r="H115" t="str">
            <v>Fall River - Samuel Watson (00950145)</v>
          </cell>
          <cell r="I115" t="str">
            <v>Low income</v>
          </cell>
          <cell r="J115" t="str">
            <v>00950145Low income</v>
          </cell>
          <cell r="K115" t="str">
            <v>--</v>
          </cell>
          <cell r="L115">
            <v>59.2</v>
          </cell>
          <cell r="M115">
            <v>62.6</v>
          </cell>
          <cell r="N115">
            <v>56.6</v>
          </cell>
          <cell r="O115">
            <v>66</v>
          </cell>
          <cell r="P115">
            <v>55.6</v>
          </cell>
          <cell r="Q115">
            <v>69.400000000000006</v>
          </cell>
          <cell r="R115">
            <v>72.8</v>
          </cell>
          <cell r="S115">
            <v>76.2</v>
          </cell>
          <cell r="T115">
            <v>79.599999999999994</v>
          </cell>
          <cell r="U115">
            <v>55.8</v>
          </cell>
          <cell r="V115">
            <v>59.5</v>
          </cell>
          <cell r="W115">
            <v>47.9</v>
          </cell>
          <cell r="X115">
            <v>63.2</v>
          </cell>
          <cell r="Y115">
            <v>45</v>
          </cell>
          <cell r="Z115">
            <v>66.900000000000006</v>
          </cell>
          <cell r="AA115">
            <v>70.5</v>
          </cell>
          <cell r="AB115">
            <v>74.2</v>
          </cell>
          <cell r="AC115">
            <v>77.900000000000006</v>
          </cell>
          <cell r="AD115">
            <v>60.4</v>
          </cell>
          <cell r="AE115">
            <v>63.7</v>
          </cell>
          <cell r="AF115">
            <v>47.6</v>
          </cell>
          <cell r="AG115">
            <v>67</v>
          </cell>
          <cell r="AH115">
            <v>40.700000000000003</v>
          </cell>
          <cell r="AI115">
            <v>70.3</v>
          </cell>
          <cell r="AJ115">
            <v>73.599999999999994</v>
          </cell>
          <cell r="AK115">
            <v>76.900000000000006</v>
          </cell>
          <cell r="AL115">
            <v>80.2</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t="str">
            <v>--</v>
          </cell>
          <cell r="BN115">
            <v>24</v>
          </cell>
          <cell r="BO115">
            <v>34</v>
          </cell>
          <cell r="BP115">
            <v>31</v>
          </cell>
          <cell r="BQ115">
            <v>41</v>
          </cell>
          <cell r="BR115">
            <v>46</v>
          </cell>
          <cell r="BS115">
            <v>51</v>
          </cell>
          <cell r="BT115">
            <v>51</v>
          </cell>
          <cell r="BU115">
            <v>51</v>
          </cell>
          <cell r="BV115">
            <v>51</v>
          </cell>
          <cell r="BW115">
            <v>27</v>
          </cell>
          <cell r="BX115">
            <v>37</v>
          </cell>
          <cell r="BY115">
            <v>40</v>
          </cell>
          <cell r="BZ115">
            <v>50</v>
          </cell>
          <cell r="CA115">
            <v>35</v>
          </cell>
          <cell r="CB115">
            <v>45</v>
          </cell>
          <cell r="CC115">
            <v>51</v>
          </cell>
          <cell r="CD115">
            <v>51</v>
          </cell>
          <cell r="CE115">
            <v>51</v>
          </cell>
          <cell r="CF115">
            <v>28.8</v>
          </cell>
          <cell r="CG115">
            <v>25.9</v>
          </cell>
          <cell r="CH115">
            <v>34.200000000000003</v>
          </cell>
          <cell r="CI115">
            <v>30.8</v>
          </cell>
          <cell r="CJ115">
            <v>31.7</v>
          </cell>
          <cell r="CK115">
            <v>28.5</v>
          </cell>
          <cell r="CL115">
            <v>25.7</v>
          </cell>
          <cell r="CM115">
            <v>23.1</v>
          </cell>
          <cell r="CN115">
            <v>20.8</v>
          </cell>
          <cell r="CO115">
            <v>32</v>
          </cell>
          <cell r="CP115">
            <v>28.8</v>
          </cell>
          <cell r="CQ115">
            <v>44.4</v>
          </cell>
          <cell r="CR115">
            <v>40</v>
          </cell>
          <cell r="CS115">
            <v>42.9</v>
          </cell>
          <cell r="CT115">
            <v>38.6</v>
          </cell>
          <cell r="CU115">
            <v>34.700000000000003</v>
          </cell>
          <cell r="CV115">
            <v>31.3</v>
          </cell>
          <cell r="CW115">
            <v>28.1</v>
          </cell>
          <cell r="CX115">
            <v>29.3</v>
          </cell>
          <cell r="CY115">
            <v>26.4</v>
          </cell>
          <cell r="CZ115">
            <v>45.2</v>
          </cell>
          <cell r="DA115">
            <v>40.700000000000003</v>
          </cell>
          <cell r="DB115">
            <v>53.5</v>
          </cell>
          <cell r="DC115">
            <v>48.2</v>
          </cell>
          <cell r="DD115">
            <v>43.3</v>
          </cell>
          <cell r="DE115">
            <v>39</v>
          </cell>
          <cell r="DF115">
            <v>35.1</v>
          </cell>
          <cell r="DG115">
            <v>2.4</v>
          </cell>
          <cell r="DH115">
            <v>2.6</v>
          </cell>
          <cell r="DI115">
            <v>0.9</v>
          </cell>
          <cell r="DJ115">
            <v>1</v>
          </cell>
          <cell r="DK115">
            <v>0</v>
          </cell>
          <cell r="DL115">
            <v>1</v>
          </cell>
          <cell r="DM115">
            <v>1.1000000000000001</v>
          </cell>
          <cell r="DN115">
            <v>1.2</v>
          </cell>
          <cell r="DO115">
            <v>1.3</v>
          </cell>
          <cell r="DP115">
            <v>3.2</v>
          </cell>
          <cell r="DQ115">
            <v>3.5</v>
          </cell>
          <cell r="DR115">
            <v>0</v>
          </cell>
          <cell r="DS115">
            <v>1</v>
          </cell>
          <cell r="DT115">
            <v>0</v>
          </cell>
          <cell r="DU115">
            <v>1</v>
          </cell>
          <cell r="DV115">
            <v>1.1000000000000001</v>
          </cell>
          <cell r="DW115">
            <v>1.2</v>
          </cell>
          <cell r="DX115">
            <v>1.3</v>
          </cell>
          <cell r="DY115">
            <v>0</v>
          </cell>
          <cell r="DZ115">
            <v>1</v>
          </cell>
          <cell r="EA115">
            <v>0</v>
          </cell>
          <cell r="EB115">
            <v>1</v>
          </cell>
          <cell r="EC115">
            <v>0</v>
          </cell>
          <cell r="ED115">
            <v>1</v>
          </cell>
          <cell r="EE115">
            <v>1.1000000000000001</v>
          </cell>
          <cell r="EF115">
            <v>1.2</v>
          </cell>
          <cell r="EG115">
            <v>1.3</v>
          </cell>
        </row>
        <row r="116">
          <cell r="A116" t="str">
            <v>00950145Hispanic/Latino</v>
          </cell>
          <cell r="B116" t="str">
            <v>00950145H</v>
          </cell>
          <cell r="C116" t="str">
            <v>0095</v>
          </cell>
          <cell r="D116" t="str">
            <v>00950145</v>
          </cell>
          <cell r="E116" t="str">
            <v>Fall River</v>
          </cell>
          <cell r="F116" t="str">
            <v>Samuel Watson</v>
          </cell>
          <cell r="G116" t="str">
            <v>ES</v>
          </cell>
          <cell r="H116" t="str">
            <v>Fall River - Samuel Watson (00950145)</v>
          </cell>
          <cell r="I116" t="str">
            <v>Hispanic/Latino</v>
          </cell>
          <cell r="J116" t="str">
            <v>00950145Hispanic/Latino</v>
          </cell>
          <cell r="K116" t="str">
            <v>--</v>
          </cell>
          <cell r="L116">
            <v>50</v>
          </cell>
          <cell r="M116">
            <v>54.2</v>
          </cell>
          <cell r="N116">
            <v>54.5</v>
          </cell>
          <cell r="O116">
            <v>58.3</v>
          </cell>
          <cell r="P116">
            <v>51.9</v>
          </cell>
          <cell r="Q116">
            <v>62.5</v>
          </cell>
          <cell r="R116">
            <v>66.7</v>
          </cell>
          <cell r="S116">
            <v>70.8</v>
          </cell>
          <cell r="T116">
            <v>75</v>
          </cell>
          <cell r="U116">
            <v>50</v>
          </cell>
          <cell r="V116">
            <v>54.2</v>
          </cell>
          <cell r="W116">
            <v>44.3</v>
          </cell>
          <cell r="X116">
            <v>58.3</v>
          </cell>
          <cell r="Y116">
            <v>38.9</v>
          </cell>
          <cell r="Z116">
            <v>62.5</v>
          </cell>
          <cell r="AA116">
            <v>66.7</v>
          </cell>
          <cell r="AB116">
            <v>70.8</v>
          </cell>
          <cell r="AC116">
            <v>75</v>
          </cell>
          <cell r="AD116" t="str">
            <v>--</v>
          </cell>
          <cell r="AE116" t="str">
            <v>--</v>
          </cell>
          <cell r="AF116" t="str">
            <v>--</v>
          </cell>
          <cell r="AG116" t="str">
            <v>--</v>
          </cell>
          <cell r="AH116" t="str">
            <v>--</v>
          </cell>
          <cell r="AI116" t="str">
            <v>--</v>
          </cell>
          <cell r="AJ116" t="str">
            <v>--</v>
          </cell>
          <cell r="AK116" t="str">
            <v>--</v>
          </cell>
          <cell r="AL116" t="str">
            <v>--</v>
          </cell>
          <cell r="AM116" t="str">
            <v>--</v>
          </cell>
          <cell r="AN116" t="str">
            <v>--</v>
          </cell>
          <cell r="AO116" t="str">
            <v>--</v>
          </cell>
          <cell r="AP116" t="str">
            <v>--</v>
          </cell>
          <cell r="AQ116" t="str">
            <v>--</v>
          </cell>
          <cell r="AR116" t="str">
            <v>--</v>
          </cell>
          <cell r="AS116" t="str">
            <v>--</v>
          </cell>
          <cell r="AT116" t="str">
            <v>--</v>
          </cell>
          <cell r="AU116" t="str">
            <v>--</v>
          </cell>
          <cell r="AV116" t="str">
            <v>--</v>
          </cell>
          <cell r="AW116" t="str">
            <v>--</v>
          </cell>
          <cell r="AX116" t="str">
            <v>--</v>
          </cell>
          <cell r="AY116" t="str">
            <v>--</v>
          </cell>
          <cell r="AZ116" t="str">
            <v>--</v>
          </cell>
          <cell r="BA116" t="str">
            <v>--</v>
          </cell>
          <cell r="BB116" t="str">
            <v>--</v>
          </cell>
          <cell r="BC116" t="str">
            <v>--</v>
          </cell>
          <cell r="BD116" t="str">
            <v>--</v>
          </cell>
          <cell r="BE116" t="str">
            <v>--</v>
          </cell>
          <cell r="BF116" t="str">
            <v>--</v>
          </cell>
          <cell r="BG116" t="str">
            <v>--</v>
          </cell>
          <cell r="BH116" t="str">
            <v>--</v>
          </cell>
          <cell r="BI116" t="str">
            <v>--</v>
          </cell>
          <cell r="BJ116" t="str">
            <v>--</v>
          </cell>
          <cell r="BK116" t="str">
            <v>--</v>
          </cell>
          <cell r="BL116" t="str">
            <v>--</v>
          </cell>
          <cell r="BM116" t="str">
            <v>--</v>
          </cell>
          <cell r="BN116" t="str">
            <v>--</v>
          </cell>
          <cell r="BO116" t="str">
            <v>--</v>
          </cell>
          <cell r="BP116" t="str">
            <v>--</v>
          </cell>
          <cell r="BQ116" t="str">
            <v>--</v>
          </cell>
          <cell r="BR116" t="str">
            <v>--</v>
          </cell>
          <cell r="BS116" t="str">
            <v>--</v>
          </cell>
          <cell r="BT116" t="str">
            <v>--</v>
          </cell>
          <cell r="BU116" t="str">
            <v>--</v>
          </cell>
          <cell r="BV116" t="str">
            <v>--</v>
          </cell>
          <cell r="BW116" t="str">
            <v>--</v>
          </cell>
          <cell r="BX116" t="str">
            <v>--</v>
          </cell>
          <cell r="BY116" t="str">
            <v>--</v>
          </cell>
          <cell r="BZ116" t="str">
            <v>--</v>
          </cell>
          <cell r="CA116" t="str">
            <v>--</v>
          </cell>
          <cell r="CB116" t="str">
            <v>--</v>
          </cell>
          <cell r="CC116" t="str">
            <v>--</v>
          </cell>
          <cell r="CD116" t="str">
            <v>--</v>
          </cell>
          <cell r="CE116" t="str">
            <v>--</v>
          </cell>
          <cell r="CF116">
            <v>36.4</v>
          </cell>
          <cell r="CG116">
            <v>32.799999999999997</v>
          </cell>
          <cell r="CH116">
            <v>40.9</v>
          </cell>
          <cell r="CI116">
            <v>36.799999999999997</v>
          </cell>
          <cell r="CJ116">
            <v>37</v>
          </cell>
          <cell r="CK116">
            <v>33.299999999999997</v>
          </cell>
          <cell r="CL116">
            <v>30</v>
          </cell>
          <cell r="CM116">
            <v>27</v>
          </cell>
          <cell r="CN116">
            <v>24.3</v>
          </cell>
          <cell r="CO116">
            <v>36.4</v>
          </cell>
          <cell r="CP116">
            <v>32.799999999999997</v>
          </cell>
          <cell r="CQ116">
            <v>54.5</v>
          </cell>
          <cell r="CR116">
            <v>49.1</v>
          </cell>
          <cell r="CS116">
            <v>48.1</v>
          </cell>
          <cell r="CT116">
            <v>43.3</v>
          </cell>
          <cell r="CU116">
            <v>39</v>
          </cell>
          <cell r="CV116">
            <v>35.1</v>
          </cell>
          <cell r="CW116">
            <v>31.6</v>
          </cell>
          <cell r="CX116" t="str">
            <v>--</v>
          </cell>
          <cell r="CY116" t="str">
            <v>--</v>
          </cell>
          <cell r="CZ116" t="str">
            <v>--</v>
          </cell>
          <cell r="DA116" t="str">
            <v>--</v>
          </cell>
          <cell r="DB116" t="str">
            <v>--</v>
          </cell>
          <cell r="DC116" t="str">
            <v>--</v>
          </cell>
          <cell r="DD116" t="str">
            <v>--</v>
          </cell>
          <cell r="DE116" t="str">
            <v>--</v>
          </cell>
          <cell r="DF116" t="str">
            <v>--</v>
          </cell>
          <cell r="DG116">
            <v>0</v>
          </cell>
          <cell r="DH116">
            <v>1</v>
          </cell>
          <cell r="DI116">
            <v>0</v>
          </cell>
          <cell r="DJ116">
            <v>1</v>
          </cell>
          <cell r="DK116">
            <v>0</v>
          </cell>
          <cell r="DL116">
            <v>1</v>
          </cell>
          <cell r="DM116">
            <v>1.1000000000000001</v>
          </cell>
          <cell r="DN116">
            <v>1.2</v>
          </cell>
          <cell r="DO116">
            <v>1.3</v>
          </cell>
          <cell r="DP116">
            <v>0</v>
          </cell>
          <cell r="DQ116">
            <v>1</v>
          </cell>
          <cell r="DR116">
            <v>0</v>
          </cell>
          <cell r="DS116">
            <v>1</v>
          </cell>
          <cell r="DT116">
            <v>0</v>
          </cell>
          <cell r="DU116">
            <v>1</v>
          </cell>
          <cell r="DV116">
            <v>1.1000000000000001</v>
          </cell>
          <cell r="DW116">
            <v>1.2</v>
          </cell>
          <cell r="DX116">
            <v>1.3</v>
          </cell>
          <cell r="DY116" t="str">
            <v>--</v>
          </cell>
          <cell r="DZ116" t="str">
            <v>--</v>
          </cell>
          <cell r="EA116" t="str">
            <v>--</v>
          </cell>
          <cell r="EB116" t="str">
            <v>--</v>
          </cell>
          <cell r="EC116" t="str">
            <v>--</v>
          </cell>
          <cell r="ED116" t="str">
            <v>--</v>
          </cell>
          <cell r="EE116" t="str">
            <v>--</v>
          </cell>
          <cell r="EF116" t="str">
            <v>--</v>
          </cell>
          <cell r="EG116" t="str">
            <v>--</v>
          </cell>
        </row>
        <row r="117">
          <cell r="A117" t="str">
            <v>00950145ELL and Former ELL</v>
          </cell>
          <cell r="B117" t="str">
            <v>00950145L</v>
          </cell>
          <cell r="C117" t="str">
            <v>0095</v>
          </cell>
          <cell r="D117" t="str">
            <v>00950145</v>
          </cell>
          <cell r="E117" t="str">
            <v>Fall River</v>
          </cell>
          <cell r="F117" t="str">
            <v>Samuel Watson</v>
          </cell>
          <cell r="G117" t="str">
            <v>ES</v>
          </cell>
          <cell r="H117" t="str">
            <v>Fall River - Samuel Watson (00950145)</v>
          </cell>
          <cell r="I117" t="str">
            <v>ELL and Former ELL</v>
          </cell>
          <cell r="J117" t="str">
            <v>00950145ELL and Former ELL</v>
          </cell>
          <cell r="K117" t="str">
            <v>--</v>
          </cell>
          <cell r="L117">
            <v>52.1</v>
          </cell>
          <cell r="M117">
            <v>56.1</v>
          </cell>
          <cell r="N117">
            <v>42.5</v>
          </cell>
          <cell r="O117">
            <v>60.1</v>
          </cell>
          <cell r="P117">
            <v>52.8</v>
          </cell>
          <cell r="Q117">
            <v>64.099999999999994</v>
          </cell>
          <cell r="R117">
            <v>68.099999999999994</v>
          </cell>
          <cell r="S117">
            <v>72.099999999999994</v>
          </cell>
          <cell r="T117">
            <v>76.099999999999994</v>
          </cell>
          <cell r="U117">
            <v>51</v>
          </cell>
          <cell r="V117">
            <v>55.1</v>
          </cell>
          <cell r="W117">
            <v>46.3</v>
          </cell>
          <cell r="X117">
            <v>59.2</v>
          </cell>
          <cell r="Y117">
            <v>47.2</v>
          </cell>
          <cell r="Z117">
            <v>63.3</v>
          </cell>
          <cell r="AA117">
            <v>67.3</v>
          </cell>
          <cell r="AB117">
            <v>71.400000000000006</v>
          </cell>
          <cell r="AC117">
            <v>75.5</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t="str">
            <v>--</v>
          </cell>
          <cell r="AQ117" t="str">
            <v>--</v>
          </cell>
          <cell r="AR117" t="str">
            <v>--</v>
          </cell>
          <cell r="AS117" t="str">
            <v>--</v>
          </cell>
          <cell r="AT117" t="str">
            <v>--</v>
          </cell>
          <cell r="AU117" t="str">
            <v>--</v>
          </cell>
          <cell r="AV117" t="str">
            <v>--</v>
          </cell>
          <cell r="AW117" t="str">
            <v>--</v>
          </cell>
          <cell r="AX117" t="str">
            <v>--</v>
          </cell>
          <cell r="AY117" t="str">
            <v>--</v>
          </cell>
          <cell r="AZ117" t="str">
            <v>--</v>
          </cell>
          <cell r="BA117" t="str">
            <v>--</v>
          </cell>
          <cell r="BB117" t="str">
            <v>--</v>
          </cell>
          <cell r="BC117" t="str">
            <v>--</v>
          </cell>
          <cell r="BD117" t="str">
            <v>--</v>
          </cell>
          <cell r="BE117" t="str">
            <v>--</v>
          </cell>
          <cell r="BF117" t="str">
            <v>--</v>
          </cell>
          <cell r="BG117" t="str">
            <v>--</v>
          </cell>
          <cell r="BH117" t="str">
            <v>--</v>
          </cell>
          <cell r="BI117" t="str">
            <v>--</v>
          </cell>
          <cell r="BJ117" t="str">
            <v>--</v>
          </cell>
          <cell r="BK117" t="str">
            <v>--</v>
          </cell>
          <cell r="BL117" t="str">
            <v>--</v>
          </cell>
          <cell r="BM117" t="str">
            <v>--</v>
          </cell>
          <cell r="BN117" t="str">
            <v>--</v>
          </cell>
          <cell r="BO117" t="str">
            <v>--</v>
          </cell>
          <cell r="BP117" t="str">
            <v>--</v>
          </cell>
          <cell r="BQ117" t="str">
            <v>--</v>
          </cell>
          <cell r="BR117" t="str">
            <v>--</v>
          </cell>
          <cell r="BS117" t="str">
            <v>--</v>
          </cell>
          <cell r="BT117" t="str">
            <v>--</v>
          </cell>
          <cell r="BU117" t="str">
            <v>--</v>
          </cell>
          <cell r="BV117" t="str">
            <v>--</v>
          </cell>
          <cell r="BW117" t="str">
            <v>--</v>
          </cell>
          <cell r="BX117" t="str">
            <v>--</v>
          </cell>
          <cell r="BY117" t="str">
            <v>--</v>
          </cell>
          <cell r="BZ117" t="str">
            <v>--</v>
          </cell>
          <cell r="CA117" t="str">
            <v>--</v>
          </cell>
          <cell r="CB117" t="str">
            <v>--</v>
          </cell>
          <cell r="CC117" t="str">
            <v>--</v>
          </cell>
          <cell r="CD117" t="str">
            <v>--</v>
          </cell>
          <cell r="CE117" t="str">
            <v>--</v>
          </cell>
          <cell r="CF117">
            <v>37.5</v>
          </cell>
          <cell r="CG117">
            <v>33.799999999999997</v>
          </cell>
          <cell r="CH117">
            <v>50</v>
          </cell>
          <cell r="CI117">
            <v>45</v>
          </cell>
          <cell r="CJ117">
            <v>33.299999999999997</v>
          </cell>
          <cell r="CK117">
            <v>45</v>
          </cell>
          <cell r="CL117">
            <v>40.5</v>
          </cell>
          <cell r="CM117">
            <v>36.5</v>
          </cell>
          <cell r="CN117">
            <v>32.799999999999997</v>
          </cell>
          <cell r="CO117">
            <v>41.7</v>
          </cell>
          <cell r="CP117">
            <v>37.5</v>
          </cell>
          <cell r="CQ117">
            <v>45</v>
          </cell>
          <cell r="CR117">
            <v>40.5</v>
          </cell>
          <cell r="CS117">
            <v>44.4</v>
          </cell>
          <cell r="CT117">
            <v>40.5</v>
          </cell>
          <cell r="CU117">
            <v>36.5</v>
          </cell>
          <cell r="CV117">
            <v>32.799999999999997</v>
          </cell>
          <cell r="CW117">
            <v>29.5</v>
          </cell>
          <cell r="CX117" t="str">
            <v>--</v>
          </cell>
          <cell r="CY117" t="str">
            <v>--</v>
          </cell>
          <cell r="CZ117" t="str">
            <v>--</v>
          </cell>
          <cell r="DA117" t="str">
            <v>--</v>
          </cell>
          <cell r="DB117" t="str">
            <v>--</v>
          </cell>
          <cell r="DC117" t="str">
            <v>--</v>
          </cell>
          <cell r="DD117" t="str">
            <v>--</v>
          </cell>
          <cell r="DE117" t="str">
            <v>--</v>
          </cell>
          <cell r="DF117" t="str">
            <v>--</v>
          </cell>
          <cell r="DG117">
            <v>0</v>
          </cell>
          <cell r="DH117">
            <v>1</v>
          </cell>
          <cell r="DI117">
            <v>0</v>
          </cell>
          <cell r="DJ117">
            <v>1</v>
          </cell>
          <cell r="DK117">
            <v>0</v>
          </cell>
          <cell r="DL117">
            <v>1</v>
          </cell>
          <cell r="DM117">
            <v>1.1000000000000001</v>
          </cell>
          <cell r="DN117">
            <v>1.2</v>
          </cell>
          <cell r="DO117">
            <v>1.3</v>
          </cell>
          <cell r="DP117">
            <v>4.2</v>
          </cell>
          <cell r="DQ117">
            <v>4.5999999999999996</v>
          </cell>
          <cell r="DR117">
            <v>0</v>
          </cell>
          <cell r="DS117">
            <v>1</v>
          </cell>
          <cell r="DT117">
            <v>0</v>
          </cell>
          <cell r="DU117">
            <v>1</v>
          </cell>
          <cell r="DV117">
            <v>1.1000000000000001</v>
          </cell>
          <cell r="DW117">
            <v>1.2</v>
          </cell>
          <cell r="DX117">
            <v>1.3</v>
          </cell>
          <cell r="DY117" t="str">
            <v>--</v>
          </cell>
          <cell r="DZ117" t="str">
            <v>--</v>
          </cell>
          <cell r="EA117" t="str">
            <v>--</v>
          </cell>
          <cell r="EB117" t="str">
            <v>--</v>
          </cell>
          <cell r="EC117" t="str">
            <v>--</v>
          </cell>
          <cell r="ED117" t="str">
            <v>--</v>
          </cell>
          <cell r="EE117" t="str">
            <v>--</v>
          </cell>
          <cell r="EF117" t="str">
            <v>--</v>
          </cell>
          <cell r="EG117" t="str">
            <v>--</v>
          </cell>
        </row>
        <row r="118">
          <cell r="A118" t="str">
            <v>00950145Multi-race, Non-Hisp./Lat.</v>
          </cell>
          <cell r="B118" t="str">
            <v>00950145M</v>
          </cell>
          <cell r="C118" t="str">
            <v>0095</v>
          </cell>
          <cell r="D118" t="str">
            <v>00950145</v>
          </cell>
          <cell r="E118" t="str">
            <v>Fall River</v>
          </cell>
          <cell r="F118" t="str">
            <v>Samuel Watson</v>
          </cell>
          <cell r="G118" t="str">
            <v>ES</v>
          </cell>
          <cell r="H118" t="str">
            <v>Fall River - Samuel Watson (00950145)</v>
          </cell>
          <cell r="I118" t="str">
            <v>Multi-race, Non-Hisp./Lat.</v>
          </cell>
          <cell r="J118" t="str">
            <v>00950145Multi-race, Non-Hisp./Lat.</v>
          </cell>
          <cell r="K118" t="str">
            <v>Level 3</v>
          </cell>
          <cell r="L118" t="str">
            <v>--</v>
          </cell>
          <cell r="M118" t="str">
            <v>--</v>
          </cell>
          <cell r="N118" t="str">
            <v>--</v>
          </cell>
          <cell r="O118" t="str">
            <v>--</v>
          </cell>
          <cell r="P118" t="str">
            <v>--</v>
          </cell>
          <cell r="Q118" t="str">
            <v>--</v>
          </cell>
          <cell r="R118" t="str">
            <v>--</v>
          </cell>
          <cell r="S118" t="str">
            <v>--</v>
          </cell>
          <cell r="T118" t="str">
            <v>--</v>
          </cell>
          <cell r="U118" t="str">
            <v>--</v>
          </cell>
          <cell r="V118" t="str">
            <v>--</v>
          </cell>
          <cell r="W118" t="str">
            <v>--</v>
          </cell>
          <cell r="X118" t="str">
            <v>--</v>
          </cell>
          <cell r="Y118" t="str">
            <v>--</v>
          </cell>
          <cell r="Z118" t="str">
            <v>--</v>
          </cell>
          <cell r="AA118" t="str">
            <v>--</v>
          </cell>
          <cell r="AB118" t="str">
            <v>--</v>
          </cell>
          <cell r="AC118" t="str">
            <v>--</v>
          </cell>
          <cell r="AD118" t="str">
            <v>--</v>
          </cell>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t="str">
            <v>--</v>
          </cell>
          <cell r="AQ118" t="str">
            <v>--</v>
          </cell>
          <cell r="AR118" t="str">
            <v>--</v>
          </cell>
          <cell r="AS118" t="str">
            <v>--</v>
          </cell>
          <cell r="AT118" t="str">
            <v>--</v>
          </cell>
          <cell r="AU118" t="str">
            <v>--</v>
          </cell>
          <cell r="AV118" t="str">
            <v>--</v>
          </cell>
          <cell r="AW118" t="str">
            <v>--</v>
          </cell>
          <cell r="AX118" t="str">
            <v>--</v>
          </cell>
          <cell r="AY118" t="str">
            <v>--</v>
          </cell>
          <cell r="AZ118" t="str">
            <v>--</v>
          </cell>
          <cell r="BA118" t="str">
            <v>--</v>
          </cell>
          <cell r="BB118" t="str">
            <v>--</v>
          </cell>
          <cell r="BC118" t="str">
            <v>--</v>
          </cell>
          <cell r="BD118" t="str">
            <v>--</v>
          </cell>
          <cell r="BE118" t="str">
            <v>--</v>
          </cell>
          <cell r="BF118" t="str">
            <v>--</v>
          </cell>
          <cell r="BG118" t="str">
            <v>--</v>
          </cell>
          <cell r="BH118" t="str">
            <v>--</v>
          </cell>
          <cell r="BI118" t="str">
            <v>--</v>
          </cell>
          <cell r="BJ118" t="str">
            <v>--</v>
          </cell>
          <cell r="BK118" t="str">
            <v>--</v>
          </cell>
          <cell r="BL118" t="str">
            <v>--</v>
          </cell>
          <cell r="BM118" t="str">
            <v>--</v>
          </cell>
          <cell r="BN118" t="str">
            <v>--</v>
          </cell>
          <cell r="BO118" t="str">
            <v>--</v>
          </cell>
          <cell r="BP118" t="str">
            <v>--</v>
          </cell>
          <cell r="BQ118" t="str">
            <v>--</v>
          </cell>
          <cell r="BR118" t="str">
            <v>--</v>
          </cell>
          <cell r="BS118" t="str">
            <v>--</v>
          </cell>
          <cell r="BT118" t="str">
            <v>--</v>
          </cell>
          <cell r="BU118" t="str">
            <v>--</v>
          </cell>
          <cell r="BV118" t="str">
            <v>--</v>
          </cell>
          <cell r="BW118" t="str">
            <v>--</v>
          </cell>
          <cell r="BX118" t="str">
            <v>--</v>
          </cell>
          <cell r="BY118" t="str">
            <v>--</v>
          </cell>
          <cell r="BZ118" t="str">
            <v>--</v>
          </cell>
          <cell r="CA118" t="str">
            <v>--</v>
          </cell>
          <cell r="CB118" t="str">
            <v>--</v>
          </cell>
          <cell r="CC118" t="str">
            <v>--</v>
          </cell>
          <cell r="CD118" t="str">
            <v>--</v>
          </cell>
          <cell r="CE118" t="str">
            <v>--</v>
          </cell>
          <cell r="CF118" t="str">
            <v>--</v>
          </cell>
          <cell r="CG118" t="str">
            <v>--</v>
          </cell>
          <cell r="CH118" t="str">
            <v>--</v>
          </cell>
          <cell r="CI118" t="str">
            <v>--</v>
          </cell>
          <cell r="CJ118" t="str">
            <v>--</v>
          </cell>
          <cell r="CK118" t="str">
            <v>--</v>
          </cell>
          <cell r="CL118" t="str">
            <v>--</v>
          </cell>
          <cell r="CM118" t="str">
            <v>--</v>
          </cell>
          <cell r="CN118" t="str">
            <v>--</v>
          </cell>
          <cell r="CO118" t="str">
            <v>--</v>
          </cell>
          <cell r="CP118" t="str">
            <v>--</v>
          </cell>
          <cell r="CQ118" t="str">
            <v>--</v>
          </cell>
          <cell r="CR118" t="str">
            <v>--</v>
          </cell>
          <cell r="CS118" t="str">
            <v>--</v>
          </cell>
          <cell r="CT118" t="str">
            <v>--</v>
          </cell>
          <cell r="CU118" t="str">
            <v>--</v>
          </cell>
          <cell r="CV118" t="str">
            <v>--</v>
          </cell>
          <cell r="CW118" t="str">
            <v>--</v>
          </cell>
          <cell r="CX118" t="str">
            <v>--</v>
          </cell>
          <cell r="CY118" t="str">
            <v>--</v>
          </cell>
          <cell r="CZ118" t="str">
            <v>--</v>
          </cell>
          <cell r="DA118" t="str">
            <v>--</v>
          </cell>
          <cell r="DB118" t="str">
            <v>--</v>
          </cell>
          <cell r="DC118" t="str">
            <v>--</v>
          </cell>
          <cell r="DD118" t="str">
            <v>--</v>
          </cell>
          <cell r="DE118" t="str">
            <v>--</v>
          </cell>
          <cell r="DF118" t="str">
            <v>--</v>
          </cell>
          <cell r="DG118" t="str">
            <v>--</v>
          </cell>
          <cell r="DH118" t="str">
            <v>--</v>
          </cell>
          <cell r="DI118" t="str">
            <v>--</v>
          </cell>
          <cell r="DJ118" t="str">
            <v>--</v>
          </cell>
          <cell r="DK118" t="str">
            <v>--</v>
          </cell>
          <cell r="DL118" t="str">
            <v>--</v>
          </cell>
          <cell r="DM118" t="str">
            <v>--</v>
          </cell>
          <cell r="DN118" t="str">
            <v>--</v>
          </cell>
          <cell r="DO118" t="str">
            <v>--</v>
          </cell>
          <cell r="DP118" t="str">
            <v>--</v>
          </cell>
          <cell r="DQ118" t="str">
            <v>--</v>
          </cell>
          <cell r="DR118" t="str">
            <v>--</v>
          </cell>
          <cell r="DS118" t="str">
            <v>--</v>
          </cell>
          <cell r="DT118" t="str">
            <v>--</v>
          </cell>
          <cell r="DU118" t="str">
            <v>--</v>
          </cell>
          <cell r="DV118" t="str">
            <v>--</v>
          </cell>
          <cell r="DW118" t="str">
            <v>--</v>
          </cell>
          <cell r="DX118" t="str">
            <v>--</v>
          </cell>
          <cell r="DY118" t="str">
            <v>--</v>
          </cell>
          <cell r="DZ118" t="str">
            <v>--</v>
          </cell>
          <cell r="EA118" t="str">
            <v>--</v>
          </cell>
          <cell r="EB118" t="str">
            <v>--</v>
          </cell>
          <cell r="EC118" t="str">
            <v>--</v>
          </cell>
          <cell r="ED118" t="str">
            <v>--</v>
          </cell>
          <cell r="EE118" t="str">
            <v>--</v>
          </cell>
          <cell r="EF118" t="str">
            <v>--</v>
          </cell>
          <cell r="EG118" t="str">
            <v>--</v>
          </cell>
        </row>
        <row r="119">
          <cell r="A119" t="str">
            <v>00950145Amer. Ind. or Alaska Nat.</v>
          </cell>
          <cell r="B119" t="str">
            <v>00950145N</v>
          </cell>
          <cell r="C119" t="str">
            <v>0095</v>
          </cell>
          <cell r="D119" t="str">
            <v>00950145</v>
          </cell>
          <cell r="E119" t="str">
            <v>Fall River</v>
          </cell>
          <cell r="F119" t="str">
            <v>Samuel Watson</v>
          </cell>
          <cell r="G119" t="str">
            <v>ES</v>
          </cell>
          <cell r="H119" t="str">
            <v>Fall River - Samuel Watson (00950145)</v>
          </cell>
          <cell r="I119" t="str">
            <v>Amer. Ind. or Alaska Nat.</v>
          </cell>
          <cell r="J119" t="str">
            <v>00950145Amer. Ind. or Alaska Nat.</v>
          </cell>
          <cell r="K119" t="str">
            <v>--</v>
          </cell>
          <cell r="L119" t="str">
            <v>--</v>
          </cell>
          <cell r="M119" t="str">
            <v>--</v>
          </cell>
          <cell r="N119" t="str">
            <v>--</v>
          </cell>
          <cell r="O119" t="str">
            <v>--</v>
          </cell>
          <cell r="P119" t="str">
            <v>--</v>
          </cell>
          <cell r="Q119" t="str">
            <v>--</v>
          </cell>
          <cell r="R119" t="str">
            <v>--</v>
          </cell>
          <cell r="S119" t="str">
            <v>--</v>
          </cell>
          <cell r="T119" t="str">
            <v>--</v>
          </cell>
          <cell r="U119" t="str">
            <v>--</v>
          </cell>
          <cell r="V119" t="str">
            <v>--</v>
          </cell>
          <cell r="W119" t="str">
            <v>--</v>
          </cell>
          <cell r="X119" t="str">
            <v>--</v>
          </cell>
          <cell r="Y119" t="str">
            <v>--</v>
          </cell>
          <cell r="Z119" t="str">
            <v>--</v>
          </cell>
          <cell r="AA119" t="str">
            <v>--</v>
          </cell>
          <cell r="AB119" t="str">
            <v>--</v>
          </cell>
          <cell r="AC119" t="str">
            <v>--</v>
          </cell>
          <cell r="AD119" t="str">
            <v>--</v>
          </cell>
          <cell r="AE119" t="str">
            <v>--</v>
          </cell>
          <cell r="AF119" t="str">
            <v>--</v>
          </cell>
          <cell r="AG119" t="str">
            <v>--</v>
          </cell>
          <cell r="AH119" t="str">
            <v>--</v>
          </cell>
          <cell r="AI119" t="str">
            <v>--</v>
          </cell>
          <cell r="AJ119" t="str">
            <v>--</v>
          </cell>
          <cell r="AK119" t="str">
            <v>--</v>
          </cell>
          <cell r="AL119" t="str">
            <v>--</v>
          </cell>
          <cell r="AM119" t="str">
            <v>--</v>
          </cell>
          <cell r="AN119" t="str">
            <v>--</v>
          </cell>
          <cell r="AO119" t="str">
            <v>--</v>
          </cell>
          <cell r="AP119" t="str">
            <v>--</v>
          </cell>
          <cell r="AQ119" t="str">
            <v>--</v>
          </cell>
          <cell r="AR119" t="str">
            <v>--</v>
          </cell>
          <cell r="AS119" t="str">
            <v>--</v>
          </cell>
          <cell r="AT119" t="str">
            <v>--</v>
          </cell>
          <cell r="AU119" t="str">
            <v>--</v>
          </cell>
          <cell r="AV119" t="str">
            <v>--</v>
          </cell>
          <cell r="AW119" t="str">
            <v>--</v>
          </cell>
          <cell r="AX119" t="str">
            <v>--</v>
          </cell>
          <cell r="AY119" t="str">
            <v>--</v>
          </cell>
          <cell r="AZ119" t="str">
            <v>--</v>
          </cell>
          <cell r="BA119" t="str">
            <v>--</v>
          </cell>
          <cell r="BB119" t="str">
            <v>--</v>
          </cell>
          <cell r="BC119" t="str">
            <v>--</v>
          </cell>
          <cell r="BD119" t="str">
            <v>--</v>
          </cell>
          <cell r="BE119" t="str">
            <v>--</v>
          </cell>
          <cell r="BF119" t="str">
            <v>--</v>
          </cell>
          <cell r="BG119" t="str">
            <v>--</v>
          </cell>
          <cell r="BH119" t="str">
            <v>--</v>
          </cell>
          <cell r="BI119" t="str">
            <v>--</v>
          </cell>
          <cell r="BJ119" t="str">
            <v>--</v>
          </cell>
          <cell r="BK119" t="str">
            <v>--</v>
          </cell>
          <cell r="BL119" t="str">
            <v>--</v>
          </cell>
          <cell r="BM119" t="str">
            <v>--</v>
          </cell>
          <cell r="BN119" t="str">
            <v>--</v>
          </cell>
          <cell r="BO119" t="str">
            <v>--</v>
          </cell>
          <cell r="BP119" t="str">
            <v>--</v>
          </cell>
          <cell r="BQ119" t="str">
            <v>--</v>
          </cell>
          <cell r="BR119" t="str">
            <v>--</v>
          </cell>
          <cell r="BS119" t="str">
            <v>--</v>
          </cell>
          <cell r="BT119" t="str">
            <v>--</v>
          </cell>
          <cell r="BU119" t="str">
            <v>--</v>
          </cell>
          <cell r="BV119" t="str">
            <v>--</v>
          </cell>
          <cell r="BW119" t="str">
            <v>--</v>
          </cell>
          <cell r="BX119" t="str">
            <v>--</v>
          </cell>
          <cell r="BY119" t="str">
            <v>--</v>
          </cell>
          <cell r="BZ119" t="str">
            <v>--</v>
          </cell>
          <cell r="CA119" t="str">
            <v>--</v>
          </cell>
          <cell r="CB119" t="str">
            <v>--</v>
          </cell>
          <cell r="CC119" t="str">
            <v>--</v>
          </cell>
          <cell r="CD119" t="str">
            <v>--</v>
          </cell>
          <cell r="CE119" t="str">
            <v>--</v>
          </cell>
          <cell r="CF119" t="str">
            <v>--</v>
          </cell>
          <cell r="CG119" t="str">
            <v>--</v>
          </cell>
          <cell r="CH119" t="str">
            <v>--</v>
          </cell>
          <cell r="CI119" t="str">
            <v>--</v>
          </cell>
          <cell r="CJ119" t="str">
            <v>--</v>
          </cell>
          <cell r="CK119" t="str">
            <v>--</v>
          </cell>
          <cell r="CL119" t="str">
            <v>--</v>
          </cell>
          <cell r="CM119" t="str">
            <v>--</v>
          </cell>
          <cell r="CN119" t="str">
            <v>--</v>
          </cell>
          <cell r="CO119" t="str">
            <v>--</v>
          </cell>
          <cell r="CP119" t="str">
            <v>--</v>
          </cell>
          <cell r="CQ119" t="str">
            <v>--</v>
          </cell>
          <cell r="CR119" t="str">
            <v>--</v>
          </cell>
          <cell r="CS119" t="str">
            <v>--</v>
          </cell>
          <cell r="CT119" t="str">
            <v>--</v>
          </cell>
          <cell r="CU119" t="str">
            <v>--</v>
          </cell>
          <cell r="CV119" t="str">
            <v>--</v>
          </cell>
          <cell r="CW119" t="str">
            <v>--</v>
          </cell>
          <cell r="CX119" t="str">
            <v>--</v>
          </cell>
          <cell r="CY119" t="str">
            <v>--</v>
          </cell>
          <cell r="CZ119" t="str">
            <v>--</v>
          </cell>
          <cell r="DA119" t="str">
            <v>--</v>
          </cell>
          <cell r="DB119" t="str">
            <v>--</v>
          </cell>
          <cell r="DC119" t="str">
            <v>--</v>
          </cell>
          <cell r="DD119" t="str">
            <v>--</v>
          </cell>
          <cell r="DE119" t="str">
            <v>--</v>
          </cell>
          <cell r="DF119" t="str">
            <v>--</v>
          </cell>
          <cell r="DG119" t="str">
            <v>--</v>
          </cell>
          <cell r="DH119" t="str">
            <v>--</v>
          </cell>
          <cell r="DI119" t="str">
            <v>--</v>
          </cell>
          <cell r="DJ119" t="str">
            <v>--</v>
          </cell>
          <cell r="DK119" t="str">
            <v>--</v>
          </cell>
          <cell r="DL119" t="str">
            <v>--</v>
          </cell>
          <cell r="DM119" t="str">
            <v>--</v>
          </cell>
          <cell r="DN119" t="str">
            <v>--</v>
          </cell>
          <cell r="DO119" t="str">
            <v>--</v>
          </cell>
          <cell r="DP119" t="str">
            <v>--</v>
          </cell>
          <cell r="DQ119" t="str">
            <v>--</v>
          </cell>
          <cell r="DR119" t="str">
            <v>--</v>
          </cell>
          <cell r="DS119" t="str">
            <v>--</v>
          </cell>
          <cell r="DT119" t="str">
            <v>--</v>
          </cell>
          <cell r="DU119" t="str">
            <v>--</v>
          </cell>
          <cell r="DV119" t="str">
            <v>--</v>
          </cell>
          <cell r="DW119" t="str">
            <v>--</v>
          </cell>
          <cell r="DX119" t="str">
            <v>--</v>
          </cell>
          <cell r="DY119" t="str">
            <v>--</v>
          </cell>
          <cell r="DZ119" t="str">
            <v>--</v>
          </cell>
          <cell r="EA119" t="str">
            <v>--</v>
          </cell>
          <cell r="EB119" t="str">
            <v>--</v>
          </cell>
          <cell r="EC119" t="str">
            <v>--</v>
          </cell>
          <cell r="ED119" t="str">
            <v>--</v>
          </cell>
          <cell r="EE119" t="str">
            <v>--</v>
          </cell>
          <cell r="EF119" t="str">
            <v>--</v>
          </cell>
          <cell r="EG119" t="str">
            <v>--</v>
          </cell>
        </row>
        <row r="120">
          <cell r="A120" t="str">
            <v>00950145Nat. Haw. or Pacif. Isl.</v>
          </cell>
          <cell r="B120" t="str">
            <v>00950145P</v>
          </cell>
          <cell r="C120" t="str">
            <v>0095</v>
          </cell>
          <cell r="D120" t="str">
            <v>00950145</v>
          </cell>
          <cell r="E120" t="str">
            <v>Fall River</v>
          </cell>
          <cell r="F120" t="str">
            <v>Samuel Watson</v>
          </cell>
          <cell r="G120" t="str">
            <v>ES</v>
          </cell>
          <cell r="H120" t="str">
            <v>Fall River - Samuel Watson (00950145)</v>
          </cell>
          <cell r="I120" t="str">
            <v>Nat. Haw. or Pacif. Isl.</v>
          </cell>
          <cell r="J120" t="str">
            <v>00950145Nat. Haw. or Pacif. Isl.</v>
          </cell>
          <cell r="K120" t="str">
            <v>Level 3</v>
          </cell>
          <cell r="L120" t="str">
            <v>--</v>
          </cell>
          <cell r="M120" t="str">
            <v>--</v>
          </cell>
          <cell r="N120" t="str">
            <v>--</v>
          </cell>
          <cell r="O120" t="str">
            <v>--</v>
          </cell>
          <cell r="P120" t="str">
            <v>--</v>
          </cell>
          <cell r="Q120" t="str">
            <v>--</v>
          </cell>
          <cell r="R120" t="str">
            <v>--</v>
          </cell>
          <cell r="S120" t="str">
            <v>--</v>
          </cell>
          <cell r="T120" t="str">
            <v>--</v>
          </cell>
          <cell r="U120" t="str">
            <v>--</v>
          </cell>
          <cell r="V120" t="str">
            <v>--</v>
          </cell>
          <cell r="W120" t="str">
            <v>--</v>
          </cell>
          <cell r="X120" t="str">
            <v>--</v>
          </cell>
          <cell r="Y120" t="str">
            <v>--</v>
          </cell>
          <cell r="Z120" t="str">
            <v>--</v>
          </cell>
          <cell r="AA120" t="str">
            <v>--</v>
          </cell>
          <cell r="AB120" t="str">
            <v>--</v>
          </cell>
          <cell r="AC120" t="str">
            <v>--</v>
          </cell>
          <cell r="AD120" t="str">
            <v>--</v>
          </cell>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t="str">
            <v>--</v>
          </cell>
          <cell r="BF120" t="str">
            <v>--</v>
          </cell>
          <cell r="BG120" t="str">
            <v>--</v>
          </cell>
          <cell r="BH120" t="str">
            <v>--</v>
          </cell>
          <cell r="BI120" t="str">
            <v>--</v>
          </cell>
          <cell r="BJ120" t="str">
            <v>--</v>
          </cell>
          <cell r="BK120" t="str">
            <v>--</v>
          </cell>
          <cell r="BL120" t="str">
            <v>--</v>
          </cell>
          <cell r="BM120" t="str">
            <v>--</v>
          </cell>
          <cell r="BN120" t="str">
            <v>--</v>
          </cell>
          <cell r="BO120" t="str">
            <v>--</v>
          </cell>
          <cell r="BP120" t="str">
            <v>--</v>
          </cell>
          <cell r="BQ120" t="str">
            <v>--</v>
          </cell>
          <cell r="BR120" t="str">
            <v>--</v>
          </cell>
          <cell r="BS120" t="str">
            <v>--</v>
          </cell>
          <cell r="BT120" t="str">
            <v>--</v>
          </cell>
          <cell r="BU120" t="str">
            <v>--</v>
          </cell>
          <cell r="BV120" t="str">
            <v>--</v>
          </cell>
          <cell r="BW120" t="str">
            <v>--</v>
          </cell>
          <cell r="BX120" t="str">
            <v>--</v>
          </cell>
          <cell r="BY120" t="str">
            <v>--</v>
          </cell>
          <cell r="BZ120" t="str">
            <v>--</v>
          </cell>
          <cell r="CA120" t="str">
            <v>--</v>
          </cell>
          <cell r="CB120" t="str">
            <v>--</v>
          </cell>
          <cell r="CC120" t="str">
            <v>--</v>
          </cell>
          <cell r="CD120" t="str">
            <v>--</v>
          </cell>
          <cell r="CE120" t="str">
            <v>--</v>
          </cell>
          <cell r="CF120" t="str">
            <v>--</v>
          </cell>
          <cell r="CG120" t="str">
            <v>--</v>
          </cell>
          <cell r="CH120" t="str">
            <v>--</v>
          </cell>
          <cell r="CI120" t="str">
            <v>--</v>
          </cell>
          <cell r="CJ120" t="str">
            <v>--</v>
          </cell>
          <cell r="CK120" t="str">
            <v>--</v>
          </cell>
          <cell r="CL120" t="str">
            <v>--</v>
          </cell>
          <cell r="CM120" t="str">
            <v>--</v>
          </cell>
          <cell r="CN120" t="str">
            <v>--</v>
          </cell>
          <cell r="CO120" t="str">
            <v>--</v>
          </cell>
          <cell r="CP120" t="str">
            <v>--</v>
          </cell>
          <cell r="CQ120" t="str">
            <v>--</v>
          </cell>
          <cell r="CR120" t="str">
            <v>--</v>
          </cell>
          <cell r="CS120" t="str">
            <v>--</v>
          </cell>
          <cell r="CT120" t="str">
            <v>--</v>
          </cell>
          <cell r="CU120" t="str">
            <v>--</v>
          </cell>
          <cell r="CV120" t="str">
            <v>--</v>
          </cell>
          <cell r="CW120" t="str">
            <v>--</v>
          </cell>
          <cell r="CX120" t="str">
            <v>--</v>
          </cell>
          <cell r="CY120" t="str">
            <v>--</v>
          </cell>
          <cell r="CZ120" t="str">
            <v>--</v>
          </cell>
          <cell r="DA120" t="str">
            <v>--</v>
          </cell>
          <cell r="DB120" t="str">
            <v>--</v>
          </cell>
          <cell r="DC120" t="str">
            <v>--</v>
          </cell>
          <cell r="DD120" t="str">
            <v>--</v>
          </cell>
          <cell r="DE120" t="str">
            <v>--</v>
          </cell>
          <cell r="DF120" t="str">
            <v>--</v>
          </cell>
          <cell r="DG120" t="str">
            <v>--</v>
          </cell>
          <cell r="DH120" t="str">
            <v>--</v>
          </cell>
          <cell r="DI120" t="str">
            <v>--</v>
          </cell>
          <cell r="DJ120" t="str">
            <v>--</v>
          </cell>
          <cell r="DK120" t="str">
            <v>--</v>
          </cell>
          <cell r="DL120" t="str">
            <v>--</v>
          </cell>
          <cell r="DM120" t="str">
            <v>--</v>
          </cell>
          <cell r="DN120" t="str">
            <v>--</v>
          </cell>
          <cell r="DO120" t="str">
            <v>--</v>
          </cell>
          <cell r="DP120" t="str">
            <v>--</v>
          </cell>
          <cell r="DQ120" t="str">
            <v>--</v>
          </cell>
          <cell r="DR120" t="str">
            <v>--</v>
          </cell>
          <cell r="DS120" t="str">
            <v>--</v>
          </cell>
          <cell r="DT120" t="str">
            <v>--</v>
          </cell>
          <cell r="DU120" t="str">
            <v>--</v>
          </cell>
          <cell r="DV120" t="str">
            <v>--</v>
          </cell>
          <cell r="DW120" t="str">
            <v>--</v>
          </cell>
          <cell r="DX120" t="str">
            <v>--</v>
          </cell>
          <cell r="DY120" t="str">
            <v>--</v>
          </cell>
          <cell r="DZ120" t="str">
            <v>--</v>
          </cell>
          <cell r="EA120" t="str">
            <v>--</v>
          </cell>
          <cell r="EB120" t="str">
            <v>--</v>
          </cell>
          <cell r="EC120" t="str">
            <v>--</v>
          </cell>
          <cell r="ED120" t="str">
            <v>--</v>
          </cell>
          <cell r="EE120" t="str">
            <v>--</v>
          </cell>
          <cell r="EF120" t="str">
            <v>--</v>
          </cell>
          <cell r="EG120" t="str">
            <v>--</v>
          </cell>
        </row>
        <row r="121">
          <cell r="A121" t="str">
            <v>00950145High needs</v>
          </cell>
          <cell r="B121" t="str">
            <v>00950145S</v>
          </cell>
          <cell r="C121" t="str">
            <v>0095</v>
          </cell>
          <cell r="D121" t="str">
            <v>00950145</v>
          </cell>
          <cell r="E121" t="str">
            <v>Fall River</v>
          </cell>
          <cell r="F121" t="str">
            <v>Samuel Watson</v>
          </cell>
          <cell r="G121" t="str">
            <v>ES</v>
          </cell>
          <cell r="H121" t="str">
            <v>Fall River - Samuel Watson (00950145)</v>
          </cell>
          <cell r="I121" t="str">
            <v>High needs</v>
          </cell>
          <cell r="J121" t="str">
            <v>00950145High needs</v>
          </cell>
          <cell r="K121" t="str">
            <v>Level 3</v>
          </cell>
          <cell r="L121">
            <v>58.4</v>
          </cell>
          <cell r="M121">
            <v>61.9</v>
          </cell>
          <cell r="N121">
            <v>55.6</v>
          </cell>
          <cell r="O121">
            <v>65.3</v>
          </cell>
          <cell r="P121">
            <v>54.8</v>
          </cell>
          <cell r="Q121">
            <v>68.8</v>
          </cell>
          <cell r="R121">
            <v>72.3</v>
          </cell>
          <cell r="S121">
            <v>75.7</v>
          </cell>
          <cell r="T121">
            <v>79.2</v>
          </cell>
          <cell r="U121">
            <v>54.6</v>
          </cell>
          <cell r="V121">
            <v>58.4</v>
          </cell>
          <cell r="W121">
            <v>47.5</v>
          </cell>
          <cell r="X121">
            <v>62.2</v>
          </cell>
          <cell r="Y121">
            <v>44.1</v>
          </cell>
          <cell r="Z121">
            <v>66</v>
          </cell>
          <cell r="AA121">
            <v>69.7</v>
          </cell>
          <cell r="AB121">
            <v>73.5</v>
          </cell>
          <cell r="AC121">
            <v>77.3</v>
          </cell>
          <cell r="AD121">
            <v>61.4</v>
          </cell>
          <cell r="AE121">
            <v>64.599999999999994</v>
          </cell>
          <cell r="AF121">
            <v>47.1</v>
          </cell>
          <cell r="AG121">
            <v>67.8</v>
          </cell>
          <cell r="AH121">
            <v>40</v>
          </cell>
          <cell r="AI121">
            <v>71.099999999999994</v>
          </cell>
          <cell r="AJ121">
            <v>74.3</v>
          </cell>
          <cell r="AK121">
            <v>77.5</v>
          </cell>
          <cell r="AL121">
            <v>80.7</v>
          </cell>
          <cell r="AM121" t="str">
            <v>--</v>
          </cell>
          <cell r="AN121" t="str">
            <v>--</v>
          </cell>
          <cell r="AO121" t="str">
            <v>--</v>
          </cell>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t="str">
            <v>--</v>
          </cell>
          <cell r="BF121" t="str">
            <v>--</v>
          </cell>
          <cell r="BG121" t="str">
            <v>--</v>
          </cell>
          <cell r="BH121" t="str">
            <v>--</v>
          </cell>
          <cell r="BI121" t="str">
            <v>--</v>
          </cell>
          <cell r="BJ121" t="str">
            <v>--</v>
          </cell>
          <cell r="BK121" t="str">
            <v>--</v>
          </cell>
          <cell r="BL121" t="str">
            <v>--</v>
          </cell>
          <cell r="BM121" t="str">
            <v>--</v>
          </cell>
          <cell r="BN121">
            <v>23</v>
          </cell>
          <cell r="BO121">
            <v>33</v>
          </cell>
          <cell r="BP121">
            <v>25.5</v>
          </cell>
          <cell r="BQ121">
            <v>35.5</v>
          </cell>
          <cell r="BR121">
            <v>46</v>
          </cell>
          <cell r="BS121">
            <v>51</v>
          </cell>
          <cell r="BT121">
            <v>51</v>
          </cell>
          <cell r="BU121">
            <v>51</v>
          </cell>
          <cell r="BV121">
            <v>51</v>
          </cell>
          <cell r="BW121">
            <v>24</v>
          </cell>
          <cell r="BX121">
            <v>34</v>
          </cell>
          <cell r="BY121">
            <v>40.5</v>
          </cell>
          <cell r="BZ121">
            <v>50.5</v>
          </cell>
          <cell r="CA121">
            <v>33</v>
          </cell>
          <cell r="CB121">
            <v>43</v>
          </cell>
          <cell r="CC121">
            <v>51</v>
          </cell>
          <cell r="CD121">
            <v>51</v>
          </cell>
          <cell r="CE121">
            <v>51</v>
          </cell>
          <cell r="CF121">
            <v>29.8</v>
          </cell>
          <cell r="CG121">
            <v>26.8</v>
          </cell>
          <cell r="CH121">
            <v>35.799999999999997</v>
          </cell>
          <cell r="CI121">
            <v>32.200000000000003</v>
          </cell>
          <cell r="CJ121">
            <v>33.1</v>
          </cell>
          <cell r="CK121">
            <v>29.8</v>
          </cell>
          <cell r="CL121">
            <v>26.8</v>
          </cell>
          <cell r="CM121">
            <v>24.1</v>
          </cell>
          <cell r="CN121">
            <v>21.7</v>
          </cell>
          <cell r="CO121">
            <v>34.4</v>
          </cell>
          <cell r="CP121">
            <v>31</v>
          </cell>
          <cell r="CQ121">
            <v>45</v>
          </cell>
          <cell r="CR121">
            <v>40.5</v>
          </cell>
          <cell r="CS121">
            <v>44.7</v>
          </cell>
          <cell r="CT121">
            <v>40.200000000000003</v>
          </cell>
          <cell r="CU121">
            <v>36.200000000000003</v>
          </cell>
          <cell r="CV121">
            <v>32.6</v>
          </cell>
          <cell r="CW121">
            <v>29.3</v>
          </cell>
          <cell r="CX121">
            <v>29.5</v>
          </cell>
          <cell r="CY121">
            <v>26.6</v>
          </cell>
          <cell r="CZ121">
            <v>46.5</v>
          </cell>
          <cell r="DA121">
            <v>41.9</v>
          </cell>
          <cell r="DB121">
            <v>55.6</v>
          </cell>
          <cell r="DC121">
            <v>50</v>
          </cell>
          <cell r="DD121">
            <v>45</v>
          </cell>
          <cell r="DE121">
            <v>40.5</v>
          </cell>
          <cell r="DF121">
            <v>36.5</v>
          </cell>
          <cell r="DG121">
            <v>2.2999999999999998</v>
          </cell>
          <cell r="DH121">
            <v>2.5</v>
          </cell>
          <cell r="DI121">
            <v>0.8</v>
          </cell>
          <cell r="DJ121">
            <v>0.9</v>
          </cell>
          <cell r="DK121">
            <v>0</v>
          </cell>
          <cell r="DL121">
            <v>1</v>
          </cell>
          <cell r="DM121">
            <v>1.1000000000000001</v>
          </cell>
          <cell r="DN121">
            <v>1.2</v>
          </cell>
          <cell r="DO121">
            <v>1.3</v>
          </cell>
          <cell r="DP121">
            <v>3.1</v>
          </cell>
          <cell r="DQ121">
            <v>3.4</v>
          </cell>
          <cell r="DR121">
            <v>0</v>
          </cell>
          <cell r="DS121">
            <v>1</v>
          </cell>
          <cell r="DT121">
            <v>0</v>
          </cell>
          <cell r="DU121">
            <v>1</v>
          </cell>
          <cell r="DV121">
            <v>1.1000000000000001</v>
          </cell>
          <cell r="DW121">
            <v>1.2</v>
          </cell>
          <cell r="DX121">
            <v>1.3</v>
          </cell>
          <cell r="DY121">
            <v>0</v>
          </cell>
          <cell r="DZ121">
            <v>1</v>
          </cell>
          <cell r="EA121">
            <v>0</v>
          </cell>
          <cell r="EB121">
            <v>1</v>
          </cell>
          <cell r="EC121">
            <v>0</v>
          </cell>
          <cell r="ED121">
            <v>1</v>
          </cell>
          <cell r="EE121">
            <v>1.1000000000000001</v>
          </cell>
          <cell r="EF121">
            <v>1.2</v>
          </cell>
          <cell r="EG121">
            <v>1.3</v>
          </cell>
        </row>
        <row r="122">
          <cell r="A122" t="str">
            <v>00950145All students</v>
          </cell>
          <cell r="B122" t="str">
            <v>00950145T</v>
          </cell>
          <cell r="C122" t="str">
            <v>0095</v>
          </cell>
          <cell r="D122" t="str">
            <v>00950145</v>
          </cell>
          <cell r="E122" t="str">
            <v>Fall River</v>
          </cell>
          <cell r="F122" t="str">
            <v>Samuel Watson</v>
          </cell>
          <cell r="G122" t="str">
            <v>ES</v>
          </cell>
          <cell r="H122" t="str">
            <v>Fall River - Samuel Watson (00950145)</v>
          </cell>
          <cell r="I122" t="str">
            <v>All students</v>
          </cell>
          <cell r="J122" t="str">
            <v>00950145All students</v>
          </cell>
          <cell r="K122" t="str">
            <v>Level 3</v>
          </cell>
          <cell r="L122">
            <v>60.3</v>
          </cell>
          <cell r="M122">
            <v>63.6</v>
          </cell>
          <cell r="N122">
            <v>57.1</v>
          </cell>
          <cell r="O122">
            <v>66.900000000000006</v>
          </cell>
          <cell r="P122">
            <v>57.4</v>
          </cell>
          <cell r="Q122">
            <v>70.2</v>
          </cell>
          <cell r="R122">
            <v>73.5</v>
          </cell>
          <cell r="S122">
            <v>76.8</v>
          </cell>
          <cell r="T122">
            <v>80.2</v>
          </cell>
          <cell r="U122">
            <v>56.5</v>
          </cell>
          <cell r="V122">
            <v>60.1</v>
          </cell>
          <cell r="W122">
            <v>49.2</v>
          </cell>
          <cell r="X122">
            <v>63.8</v>
          </cell>
          <cell r="Y122">
            <v>46.3</v>
          </cell>
          <cell r="Z122">
            <v>67.400000000000006</v>
          </cell>
          <cell r="AA122">
            <v>71</v>
          </cell>
          <cell r="AB122">
            <v>74.599999999999994</v>
          </cell>
          <cell r="AC122">
            <v>78.3</v>
          </cell>
          <cell r="AD122">
            <v>64.8</v>
          </cell>
          <cell r="AE122">
            <v>67.7</v>
          </cell>
          <cell r="AF122">
            <v>50</v>
          </cell>
          <cell r="AG122">
            <v>70.7</v>
          </cell>
          <cell r="AH122">
            <v>41.1</v>
          </cell>
          <cell r="AI122">
            <v>73.599999999999994</v>
          </cell>
          <cell r="AJ122">
            <v>76.5</v>
          </cell>
          <cell r="AK122">
            <v>79.5</v>
          </cell>
          <cell r="AL122">
            <v>82.4</v>
          </cell>
          <cell r="AM122" t="str">
            <v>--</v>
          </cell>
          <cell r="AN122" t="str">
            <v>--</v>
          </cell>
          <cell r="AO122" t="str">
            <v>--</v>
          </cell>
          <cell r="AP122" t="str">
            <v>--</v>
          </cell>
          <cell r="AQ122" t="str">
            <v>--</v>
          </cell>
          <cell r="AR122" t="str">
            <v>--</v>
          </cell>
          <cell r="AS122" t="str">
            <v>--</v>
          </cell>
          <cell r="AT122" t="str">
            <v>--</v>
          </cell>
          <cell r="AU122" t="str">
            <v>--</v>
          </cell>
          <cell r="AV122" t="str">
            <v>--</v>
          </cell>
          <cell r="AW122" t="str">
            <v>--</v>
          </cell>
          <cell r="AX122" t="str">
            <v>--</v>
          </cell>
          <cell r="AY122" t="str">
            <v>--</v>
          </cell>
          <cell r="AZ122" t="str">
            <v>--</v>
          </cell>
          <cell r="BA122" t="str">
            <v>--</v>
          </cell>
          <cell r="BB122" t="str">
            <v>--</v>
          </cell>
          <cell r="BC122" t="str">
            <v>--</v>
          </cell>
          <cell r="BD122" t="str">
            <v>--</v>
          </cell>
          <cell r="BE122" t="str">
            <v>--</v>
          </cell>
          <cell r="BF122" t="str">
            <v>--</v>
          </cell>
          <cell r="BG122" t="str">
            <v>--</v>
          </cell>
          <cell r="BH122" t="str">
            <v>--</v>
          </cell>
          <cell r="BI122" t="str">
            <v>--</v>
          </cell>
          <cell r="BJ122" t="str">
            <v>--</v>
          </cell>
          <cell r="BK122" t="str">
            <v>--</v>
          </cell>
          <cell r="BL122" t="str">
            <v>--</v>
          </cell>
          <cell r="BM122" t="str">
            <v>--</v>
          </cell>
          <cell r="BN122">
            <v>25.5</v>
          </cell>
          <cell r="BO122">
            <v>35.5</v>
          </cell>
          <cell r="BP122">
            <v>28.5</v>
          </cell>
          <cell r="BQ122">
            <v>38.5</v>
          </cell>
          <cell r="BR122">
            <v>47.5</v>
          </cell>
          <cell r="BS122">
            <v>51</v>
          </cell>
          <cell r="BT122">
            <v>51</v>
          </cell>
          <cell r="BU122">
            <v>51</v>
          </cell>
          <cell r="BV122">
            <v>51</v>
          </cell>
          <cell r="BW122">
            <v>27</v>
          </cell>
          <cell r="BX122">
            <v>37</v>
          </cell>
          <cell r="BY122">
            <v>38</v>
          </cell>
          <cell r="BZ122">
            <v>48</v>
          </cell>
          <cell r="CA122">
            <v>37.5</v>
          </cell>
          <cell r="CB122">
            <v>47.5</v>
          </cell>
          <cell r="CC122">
            <v>51</v>
          </cell>
          <cell r="CD122">
            <v>51</v>
          </cell>
          <cell r="CE122">
            <v>51</v>
          </cell>
          <cell r="CF122">
            <v>28</v>
          </cell>
          <cell r="CG122">
            <v>25.2</v>
          </cell>
          <cell r="CH122">
            <v>33.799999999999997</v>
          </cell>
          <cell r="CI122">
            <v>30.4</v>
          </cell>
          <cell r="CJ122">
            <v>30.9</v>
          </cell>
          <cell r="CK122">
            <v>27.8</v>
          </cell>
          <cell r="CL122">
            <v>25</v>
          </cell>
          <cell r="CM122">
            <v>22.5</v>
          </cell>
          <cell r="CN122">
            <v>20.3</v>
          </cell>
          <cell r="CO122">
            <v>32.200000000000003</v>
          </cell>
          <cell r="CP122">
            <v>29</v>
          </cell>
          <cell r="CQ122">
            <v>41.5</v>
          </cell>
          <cell r="CR122">
            <v>37.4</v>
          </cell>
          <cell r="CS122">
            <v>42.2</v>
          </cell>
          <cell r="CT122">
            <v>38</v>
          </cell>
          <cell r="CU122">
            <v>34.200000000000003</v>
          </cell>
          <cell r="CV122">
            <v>30.8</v>
          </cell>
          <cell r="CW122">
            <v>27.7</v>
          </cell>
          <cell r="CX122">
            <v>26.5</v>
          </cell>
          <cell r="CY122">
            <v>23.9</v>
          </cell>
          <cell r="CZ122">
            <v>43.8</v>
          </cell>
          <cell r="DA122">
            <v>39.4</v>
          </cell>
          <cell r="DB122">
            <v>54.2</v>
          </cell>
          <cell r="DC122">
            <v>48.8</v>
          </cell>
          <cell r="DD122">
            <v>43.9</v>
          </cell>
          <cell r="DE122">
            <v>39.5</v>
          </cell>
          <cell r="DF122">
            <v>35.6</v>
          </cell>
          <cell r="DG122">
            <v>2.1</v>
          </cell>
          <cell r="DH122">
            <v>2.2999999999999998</v>
          </cell>
          <cell r="DI122">
            <v>0.8</v>
          </cell>
          <cell r="DJ122">
            <v>0.9</v>
          </cell>
          <cell r="DK122">
            <v>0</v>
          </cell>
          <cell r="DL122">
            <v>1</v>
          </cell>
          <cell r="DM122">
            <v>1.1000000000000001</v>
          </cell>
          <cell r="DN122">
            <v>1.2</v>
          </cell>
          <cell r="DO122">
            <v>1.3</v>
          </cell>
          <cell r="DP122">
            <v>3.5</v>
          </cell>
          <cell r="DQ122">
            <v>3.9</v>
          </cell>
          <cell r="DR122">
            <v>0</v>
          </cell>
          <cell r="DS122">
            <v>1</v>
          </cell>
          <cell r="DT122">
            <v>0</v>
          </cell>
          <cell r="DU122">
            <v>1</v>
          </cell>
          <cell r="DV122">
            <v>1.1000000000000001</v>
          </cell>
          <cell r="DW122">
            <v>1.2</v>
          </cell>
          <cell r="DX122">
            <v>1.3</v>
          </cell>
          <cell r="DY122">
            <v>2</v>
          </cell>
          <cell r="DZ122">
            <v>2.2000000000000002</v>
          </cell>
          <cell r="EA122">
            <v>0</v>
          </cell>
          <cell r="EB122">
            <v>1</v>
          </cell>
          <cell r="EC122">
            <v>0</v>
          </cell>
          <cell r="ED122">
            <v>1</v>
          </cell>
          <cell r="EE122">
            <v>1.1000000000000001</v>
          </cell>
          <cell r="EF122">
            <v>1.2</v>
          </cell>
          <cell r="EG122">
            <v>1.3</v>
          </cell>
        </row>
        <row r="123">
          <cell r="A123" t="str">
            <v>01370025Asian</v>
          </cell>
          <cell r="B123" t="str">
            <v>01370025A</v>
          </cell>
          <cell r="C123" t="str">
            <v>0137</v>
          </cell>
          <cell r="D123" t="str">
            <v>01370025</v>
          </cell>
          <cell r="E123" t="str">
            <v>Holyoke</v>
          </cell>
          <cell r="F123" t="str">
            <v>Morgan Elementary</v>
          </cell>
          <cell r="G123" t="str">
            <v>ESMS</v>
          </cell>
          <cell r="H123" t="str">
            <v>Holyoke - Morgan Elementary (01370025)</v>
          </cell>
          <cell r="I123" t="str">
            <v>Asian</v>
          </cell>
          <cell r="J123" t="str">
            <v>01370025Asian</v>
          </cell>
          <cell r="K123" t="str">
            <v>Level 4</v>
          </cell>
          <cell r="L123" t="str">
            <v>--</v>
          </cell>
          <cell r="M123" t="str">
            <v>--</v>
          </cell>
          <cell r="N123" t="str">
            <v>--</v>
          </cell>
          <cell r="O123" t="str">
            <v>--</v>
          </cell>
          <cell r="P123" t="str">
            <v>--</v>
          </cell>
          <cell r="Q123" t="str">
            <v>--</v>
          </cell>
          <cell r="R123" t="str">
            <v>--</v>
          </cell>
          <cell r="S123" t="str">
            <v>--</v>
          </cell>
          <cell r="T123" t="str">
            <v>--</v>
          </cell>
          <cell r="U123" t="str">
            <v>--</v>
          </cell>
          <cell r="V123" t="str">
            <v>--</v>
          </cell>
          <cell r="W123" t="str">
            <v>--</v>
          </cell>
          <cell r="X123" t="str">
            <v>--</v>
          </cell>
          <cell r="Y123" t="str">
            <v>--</v>
          </cell>
          <cell r="Z123" t="str">
            <v>--</v>
          </cell>
          <cell r="AA123" t="str">
            <v>--</v>
          </cell>
          <cell r="AB123" t="str">
            <v>--</v>
          </cell>
          <cell r="AC123" t="str">
            <v>--</v>
          </cell>
          <cell r="AD123" t="str">
            <v>--</v>
          </cell>
          <cell r="AE123" t="str">
            <v>--</v>
          </cell>
          <cell r="AF123" t="str">
            <v>--</v>
          </cell>
          <cell r="AG123" t="str">
            <v>--</v>
          </cell>
          <cell r="AH123" t="str">
            <v>--</v>
          </cell>
          <cell r="AI123" t="str">
            <v>--</v>
          </cell>
          <cell r="AJ123" t="str">
            <v>--</v>
          </cell>
          <cell r="AK123" t="str">
            <v>--</v>
          </cell>
          <cell r="AL123" t="str">
            <v>--</v>
          </cell>
          <cell r="AM123" t="str">
            <v>--</v>
          </cell>
          <cell r="AN123" t="str">
            <v>--</v>
          </cell>
          <cell r="AO123" t="str">
            <v>--</v>
          </cell>
          <cell r="AP123" t="str">
            <v>--</v>
          </cell>
          <cell r="AQ123" t="str">
            <v>--</v>
          </cell>
          <cell r="AR123" t="str">
            <v>--</v>
          </cell>
          <cell r="AS123" t="str">
            <v>--</v>
          </cell>
          <cell r="AT123" t="str">
            <v>--</v>
          </cell>
          <cell r="AU123" t="str">
            <v>--</v>
          </cell>
          <cell r="AV123" t="str">
            <v>--</v>
          </cell>
          <cell r="AW123" t="str">
            <v>--</v>
          </cell>
          <cell r="AX123" t="str">
            <v>--</v>
          </cell>
          <cell r="AY123" t="str">
            <v>--</v>
          </cell>
          <cell r="AZ123" t="str">
            <v>--</v>
          </cell>
          <cell r="BA123" t="str">
            <v>--</v>
          </cell>
          <cell r="BB123" t="str">
            <v>--</v>
          </cell>
          <cell r="BC123" t="str">
            <v>--</v>
          </cell>
          <cell r="BD123" t="str">
            <v>--</v>
          </cell>
          <cell r="BE123" t="str">
            <v>--</v>
          </cell>
          <cell r="BF123" t="str">
            <v>--</v>
          </cell>
          <cell r="BG123" t="str">
            <v>--</v>
          </cell>
          <cell r="BH123" t="str">
            <v>--</v>
          </cell>
          <cell r="BI123" t="str">
            <v>--</v>
          </cell>
          <cell r="BJ123" t="str">
            <v>--</v>
          </cell>
          <cell r="BK123" t="str">
            <v>--</v>
          </cell>
          <cell r="BL123" t="str">
            <v>--</v>
          </cell>
          <cell r="BM123" t="str">
            <v>--</v>
          </cell>
          <cell r="BN123" t="str">
            <v>--</v>
          </cell>
          <cell r="BO123" t="str">
            <v>--</v>
          </cell>
          <cell r="BP123" t="str">
            <v>--</v>
          </cell>
          <cell r="BQ123" t="str">
            <v>--</v>
          </cell>
          <cell r="BR123" t="str">
            <v>--</v>
          </cell>
          <cell r="BS123" t="str">
            <v>--</v>
          </cell>
          <cell r="BT123" t="str">
            <v>--</v>
          </cell>
          <cell r="BU123" t="str">
            <v>--</v>
          </cell>
          <cell r="BV123" t="str">
            <v>--</v>
          </cell>
          <cell r="BW123" t="str">
            <v>--</v>
          </cell>
          <cell r="BX123" t="str">
            <v>--</v>
          </cell>
          <cell r="BY123" t="str">
            <v>--</v>
          </cell>
          <cell r="BZ123" t="str">
            <v>--</v>
          </cell>
          <cell r="CA123" t="str">
            <v>--</v>
          </cell>
          <cell r="CB123" t="str">
            <v>--</v>
          </cell>
          <cell r="CC123" t="str">
            <v>--</v>
          </cell>
          <cell r="CD123" t="str">
            <v>--</v>
          </cell>
          <cell r="CE123" t="str">
            <v>--</v>
          </cell>
          <cell r="CF123" t="str">
            <v>--</v>
          </cell>
          <cell r="CG123" t="str">
            <v>--</v>
          </cell>
          <cell r="CH123" t="str">
            <v>--</v>
          </cell>
          <cell r="CI123" t="str">
            <v>--</v>
          </cell>
          <cell r="CJ123" t="str">
            <v>--</v>
          </cell>
          <cell r="CK123" t="str">
            <v>--</v>
          </cell>
          <cell r="CL123" t="str">
            <v>--</v>
          </cell>
          <cell r="CM123" t="str">
            <v>--</v>
          </cell>
          <cell r="CN123" t="str">
            <v>--</v>
          </cell>
          <cell r="CO123" t="str">
            <v>--</v>
          </cell>
          <cell r="CP123" t="str">
            <v>--</v>
          </cell>
          <cell r="CQ123" t="str">
            <v>--</v>
          </cell>
          <cell r="CR123" t="str">
            <v>--</v>
          </cell>
          <cell r="CS123" t="str">
            <v>--</v>
          </cell>
          <cell r="CT123" t="str">
            <v>--</v>
          </cell>
          <cell r="CU123" t="str">
            <v>--</v>
          </cell>
          <cell r="CV123" t="str">
            <v>--</v>
          </cell>
          <cell r="CW123" t="str">
            <v>--</v>
          </cell>
          <cell r="CX123" t="str">
            <v>--</v>
          </cell>
          <cell r="CY123" t="str">
            <v>--</v>
          </cell>
          <cell r="CZ123" t="str">
            <v>--</v>
          </cell>
          <cell r="DA123" t="str">
            <v>--</v>
          </cell>
          <cell r="DB123" t="str">
            <v>--</v>
          </cell>
          <cell r="DC123" t="str">
            <v>--</v>
          </cell>
          <cell r="DD123" t="str">
            <v>--</v>
          </cell>
          <cell r="DE123" t="str">
            <v>--</v>
          </cell>
          <cell r="DF123" t="str">
            <v>--</v>
          </cell>
          <cell r="DG123" t="str">
            <v>--</v>
          </cell>
          <cell r="DH123" t="str">
            <v>--</v>
          </cell>
          <cell r="DI123" t="str">
            <v>--</v>
          </cell>
          <cell r="DJ123" t="str">
            <v>--</v>
          </cell>
          <cell r="DK123" t="str">
            <v>--</v>
          </cell>
          <cell r="DL123" t="str">
            <v>--</v>
          </cell>
          <cell r="DM123" t="str">
            <v>--</v>
          </cell>
          <cell r="DN123" t="str">
            <v>--</v>
          </cell>
          <cell r="DO123" t="str">
            <v>--</v>
          </cell>
          <cell r="DP123" t="str">
            <v>--</v>
          </cell>
          <cell r="DQ123" t="str">
            <v>--</v>
          </cell>
          <cell r="DR123" t="str">
            <v>--</v>
          </cell>
          <cell r="DS123" t="str">
            <v>--</v>
          </cell>
          <cell r="DT123" t="str">
            <v>--</v>
          </cell>
          <cell r="DU123" t="str">
            <v>--</v>
          </cell>
          <cell r="DV123" t="str">
            <v>--</v>
          </cell>
          <cell r="DW123" t="str">
            <v>--</v>
          </cell>
          <cell r="DX123" t="str">
            <v>--</v>
          </cell>
          <cell r="DY123" t="str">
            <v>--</v>
          </cell>
          <cell r="DZ123" t="str">
            <v>--</v>
          </cell>
          <cell r="EA123" t="str">
            <v>--</v>
          </cell>
          <cell r="EB123" t="str">
            <v>--</v>
          </cell>
          <cell r="EC123" t="str">
            <v>--</v>
          </cell>
          <cell r="ED123" t="str">
            <v>--</v>
          </cell>
          <cell r="EE123" t="str">
            <v>--</v>
          </cell>
          <cell r="EF123" t="str">
            <v>--</v>
          </cell>
          <cell r="EG123" t="str">
            <v>--</v>
          </cell>
        </row>
        <row r="124">
          <cell r="A124" t="str">
            <v>01370025Afr. Amer/Black</v>
          </cell>
          <cell r="B124" t="str">
            <v>01370025B</v>
          </cell>
          <cell r="C124" t="str">
            <v>0137</v>
          </cell>
          <cell r="D124" t="str">
            <v>01370025</v>
          </cell>
          <cell r="E124" t="str">
            <v>Holyoke</v>
          </cell>
          <cell r="F124" t="str">
            <v>Morgan Elementary</v>
          </cell>
          <cell r="G124" t="str">
            <v>ESMS</v>
          </cell>
          <cell r="H124" t="str">
            <v>Holyoke - Morgan Elementary (01370025)</v>
          </cell>
          <cell r="I124" t="str">
            <v>Afr. Amer/Black</v>
          </cell>
          <cell r="J124" t="str">
            <v>01370025Afr. Amer/Black</v>
          </cell>
          <cell r="K124" t="str">
            <v>Level 4</v>
          </cell>
          <cell r="L124" t="str">
            <v>--</v>
          </cell>
          <cell r="M124" t="str">
            <v>--</v>
          </cell>
          <cell r="N124" t="str">
            <v>--</v>
          </cell>
          <cell r="O124" t="str">
            <v>--</v>
          </cell>
          <cell r="P124" t="str">
            <v>--</v>
          </cell>
          <cell r="Q124" t="str">
            <v>--</v>
          </cell>
          <cell r="R124" t="str">
            <v>--</v>
          </cell>
          <cell r="S124" t="str">
            <v>--</v>
          </cell>
          <cell r="T124" t="str">
            <v>--</v>
          </cell>
          <cell r="U124" t="str">
            <v>--</v>
          </cell>
          <cell r="V124" t="str">
            <v>--</v>
          </cell>
          <cell r="W124" t="str">
            <v>--</v>
          </cell>
          <cell r="X124" t="str">
            <v>--</v>
          </cell>
          <cell r="Y124" t="str">
            <v>--</v>
          </cell>
          <cell r="Z124" t="str">
            <v>--</v>
          </cell>
          <cell r="AA124" t="str">
            <v>--</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t="str">
            <v>--</v>
          </cell>
          <cell r="AQ124" t="str">
            <v>--</v>
          </cell>
          <cell r="AR124" t="str">
            <v>--</v>
          </cell>
          <cell r="AS124" t="str">
            <v>--</v>
          </cell>
          <cell r="AT124" t="str">
            <v>--</v>
          </cell>
          <cell r="AU124" t="str">
            <v>--</v>
          </cell>
          <cell r="AV124" t="str">
            <v>--</v>
          </cell>
          <cell r="AW124" t="str">
            <v>--</v>
          </cell>
          <cell r="AX124" t="str">
            <v>--</v>
          </cell>
          <cell r="AY124" t="str">
            <v>--</v>
          </cell>
          <cell r="AZ124" t="str">
            <v>--</v>
          </cell>
          <cell r="BA124" t="str">
            <v>--</v>
          </cell>
          <cell r="BB124" t="str">
            <v>--</v>
          </cell>
          <cell r="BC124" t="str">
            <v>--</v>
          </cell>
          <cell r="BD124" t="str">
            <v>--</v>
          </cell>
          <cell r="BE124" t="str">
            <v>--</v>
          </cell>
          <cell r="BF124" t="str">
            <v>--</v>
          </cell>
          <cell r="BG124" t="str">
            <v>--</v>
          </cell>
          <cell r="BH124" t="str">
            <v>--</v>
          </cell>
          <cell r="BI124" t="str">
            <v>--</v>
          </cell>
          <cell r="BJ124" t="str">
            <v>--</v>
          </cell>
          <cell r="BK124" t="str">
            <v>--</v>
          </cell>
          <cell r="BL124" t="str">
            <v>--</v>
          </cell>
          <cell r="BM124" t="str">
            <v>--</v>
          </cell>
          <cell r="BN124" t="str">
            <v>--</v>
          </cell>
          <cell r="BO124" t="str">
            <v>--</v>
          </cell>
          <cell r="BP124" t="str">
            <v>--</v>
          </cell>
          <cell r="BQ124" t="str">
            <v>--</v>
          </cell>
          <cell r="BR124" t="str">
            <v>--</v>
          </cell>
          <cell r="BS124" t="str">
            <v>--</v>
          </cell>
          <cell r="BT124" t="str">
            <v>--</v>
          </cell>
          <cell r="BU124" t="str">
            <v>--</v>
          </cell>
          <cell r="BV124" t="str">
            <v>--</v>
          </cell>
          <cell r="BW124" t="str">
            <v>--</v>
          </cell>
          <cell r="BX124" t="str">
            <v>--</v>
          </cell>
          <cell r="BY124" t="str">
            <v>--</v>
          </cell>
          <cell r="BZ124" t="str">
            <v>--</v>
          </cell>
          <cell r="CA124" t="str">
            <v>--</v>
          </cell>
          <cell r="CB124" t="str">
            <v>--</v>
          </cell>
          <cell r="CC124" t="str">
            <v>--</v>
          </cell>
          <cell r="CD124" t="str">
            <v>--</v>
          </cell>
          <cell r="CE124" t="str">
            <v>--</v>
          </cell>
          <cell r="CF124" t="str">
            <v>--</v>
          </cell>
          <cell r="CG124" t="str">
            <v>--</v>
          </cell>
          <cell r="CH124" t="str">
            <v>--</v>
          </cell>
          <cell r="CI124" t="str">
            <v>--</v>
          </cell>
          <cell r="CJ124" t="str">
            <v>--</v>
          </cell>
          <cell r="CK124" t="str">
            <v>--</v>
          </cell>
          <cell r="CL124" t="str">
            <v>--</v>
          </cell>
          <cell r="CM124" t="str">
            <v>--</v>
          </cell>
          <cell r="CN124" t="str">
            <v>--</v>
          </cell>
          <cell r="CO124" t="str">
            <v>--</v>
          </cell>
          <cell r="CP124" t="str">
            <v>--</v>
          </cell>
          <cell r="CQ124" t="str">
            <v>--</v>
          </cell>
          <cell r="CR124" t="str">
            <v>--</v>
          </cell>
          <cell r="CS124" t="str">
            <v>--</v>
          </cell>
          <cell r="CT124" t="str">
            <v>--</v>
          </cell>
          <cell r="CU124" t="str">
            <v>--</v>
          </cell>
          <cell r="CV124" t="str">
            <v>--</v>
          </cell>
          <cell r="CW124" t="str">
            <v>--</v>
          </cell>
          <cell r="CX124" t="str">
            <v>--</v>
          </cell>
          <cell r="CY124" t="str">
            <v>--</v>
          </cell>
          <cell r="CZ124" t="str">
            <v>--</v>
          </cell>
          <cell r="DA124" t="str">
            <v>--</v>
          </cell>
          <cell r="DB124" t="str">
            <v>--</v>
          </cell>
          <cell r="DC124" t="str">
            <v>--</v>
          </cell>
          <cell r="DD124" t="str">
            <v>--</v>
          </cell>
          <cell r="DE124" t="str">
            <v>--</v>
          </cell>
          <cell r="DF124" t="str">
            <v>--</v>
          </cell>
          <cell r="DG124" t="str">
            <v>--</v>
          </cell>
          <cell r="DH124" t="str">
            <v>--</v>
          </cell>
          <cell r="DI124" t="str">
            <v>--</v>
          </cell>
          <cell r="DJ124" t="str">
            <v>--</v>
          </cell>
          <cell r="DK124" t="str">
            <v>--</v>
          </cell>
          <cell r="DL124" t="str">
            <v>--</v>
          </cell>
          <cell r="DM124" t="str">
            <v>--</v>
          </cell>
          <cell r="DN124" t="str">
            <v>--</v>
          </cell>
          <cell r="DO124" t="str">
            <v>--</v>
          </cell>
          <cell r="DP124" t="str">
            <v>--</v>
          </cell>
          <cell r="DQ124" t="str">
            <v>--</v>
          </cell>
          <cell r="DR124" t="str">
            <v>--</v>
          </cell>
          <cell r="DS124" t="str">
            <v>--</v>
          </cell>
          <cell r="DT124" t="str">
            <v>--</v>
          </cell>
          <cell r="DU124" t="str">
            <v>--</v>
          </cell>
          <cell r="DV124" t="str">
            <v>--</v>
          </cell>
          <cell r="DW124" t="str">
            <v>--</v>
          </cell>
          <cell r="DX124" t="str">
            <v>--</v>
          </cell>
          <cell r="DY124" t="str">
            <v>--</v>
          </cell>
          <cell r="DZ124" t="str">
            <v>--</v>
          </cell>
          <cell r="EA124" t="str">
            <v>--</v>
          </cell>
          <cell r="EB124" t="str">
            <v>--</v>
          </cell>
          <cell r="EC124" t="str">
            <v>--</v>
          </cell>
          <cell r="ED124" t="str">
            <v>--</v>
          </cell>
          <cell r="EE124" t="str">
            <v>--</v>
          </cell>
          <cell r="EF124" t="str">
            <v>--</v>
          </cell>
          <cell r="EG124" t="str">
            <v>--</v>
          </cell>
        </row>
        <row r="125">
          <cell r="A125" t="str">
            <v>01370025White</v>
          </cell>
          <cell r="B125" t="str">
            <v>01370025C</v>
          </cell>
          <cell r="C125" t="str">
            <v>0137</v>
          </cell>
          <cell r="D125" t="str">
            <v>01370025</v>
          </cell>
          <cell r="E125" t="str">
            <v>Holyoke</v>
          </cell>
          <cell r="F125" t="str">
            <v>Morgan Elementary</v>
          </cell>
          <cell r="G125" t="str">
            <v>ESMS</v>
          </cell>
          <cell r="H125" t="str">
            <v>Holyoke - Morgan Elementary (01370025)</v>
          </cell>
          <cell r="I125" t="str">
            <v>White</v>
          </cell>
          <cell r="J125" t="str">
            <v>01370025White</v>
          </cell>
          <cell r="K125" t="str">
            <v>Level 4</v>
          </cell>
          <cell r="L125" t="str">
            <v>--</v>
          </cell>
          <cell r="M125" t="str">
            <v>--</v>
          </cell>
          <cell r="N125" t="str">
            <v>--</v>
          </cell>
          <cell r="O125" t="str">
            <v>--</v>
          </cell>
          <cell r="P125" t="str">
            <v>--</v>
          </cell>
          <cell r="Q125" t="str">
            <v>--</v>
          </cell>
          <cell r="R125" t="str">
            <v>--</v>
          </cell>
          <cell r="S125" t="str">
            <v>--</v>
          </cell>
          <cell r="T125" t="str">
            <v>--</v>
          </cell>
          <cell r="U125" t="str">
            <v>--</v>
          </cell>
          <cell r="V125" t="str">
            <v>--</v>
          </cell>
          <cell r="W125" t="str">
            <v>--</v>
          </cell>
          <cell r="X125" t="str">
            <v>--</v>
          </cell>
          <cell r="Y125" t="str">
            <v>--</v>
          </cell>
          <cell r="Z125" t="str">
            <v>--</v>
          </cell>
          <cell r="AA125" t="str">
            <v>--</v>
          </cell>
          <cell r="AB125" t="str">
            <v>--</v>
          </cell>
          <cell r="AC125" t="str">
            <v>--</v>
          </cell>
          <cell r="AD125" t="str">
            <v>--</v>
          </cell>
          <cell r="AE125" t="str">
            <v>--</v>
          </cell>
          <cell r="AF125" t="str">
            <v>--</v>
          </cell>
          <cell r="AG125" t="str">
            <v>--</v>
          </cell>
          <cell r="AH125" t="str">
            <v>--</v>
          </cell>
          <cell r="AI125" t="str">
            <v>--</v>
          </cell>
          <cell r="AJ125" t="str">
            <v>--</v>
          </cell>
          <cell r="AK125" t="str">
            <v>--</v>
          </cell>
          <cell r="AL125" t="str">
            <v>--</v>
          </cell>
          <cell r="AM125" t="str">
            <v>--</v>
          </cell>
          <cell r="AN125" t="str">
            <v>--</v>
          </cell>
          <cell r="AO125" t="str">
            <v>--</v>
          </cell>
          <cell r="AP125" t="str">
            <v>--</v>
          </cell>
          <cell r="AQ125" t="str">
            <v>--</v>
          </cell>
          <cell r="AR125" t="str">
            <v>--</v>
          </cell>
          <cell r="AS125" t="str">
            <v>--</v>
          </cell>
          <cell r="AT125" t="str">
            <v>--</v>
          </cell>
          <cell r="AU125" t="str">
            <v>--</v>
          </cell>
          <cell r="AV125" t="str">
            <v>--</v>
          </cell>
          <cell r="AW125" t="str">
            <v>--</v>
          </cell>
          <cell r="AX125" t="str">
            <v>--</v>
          </cell>
          <cell r="AY125" t="str">
            <v>--</v>
          </cell>
          <cell r="AZ125" t="str">
            <v>--</v>
          </cell>
          <cell r="BA125" t="str">
            <v>--</v>
          </cell>
          <cell r="BB125" t="str">
            <v>--</v>
          </cell>
          <cell r="BC125" t="str">
            <v>--</v>
          </cell>
          <cell r="BD125" t="str">
            <v>--</v>
          </cell>
          <cell r="BE125" t="str">
            <v>--</v>
          </cell>
          <cell r="BF125" t="str">
            <v>--</v>
          </cell>
          <cell r="BG125" t="str">
            <v>--</v>
          </cell>
          <cell r="BH125" t="str">
            <v>--</v>
          </cell>
          <cell r="BI125" t="str">
            <v>--</v>
          </cell>
          <cell r="BJ125" t="str">
            <v>--</v>
          </cell>
          <cell r="BK125" t="str">
            <v>--</v>
          </cell>
          <cell r="BL125" t="str">
            <v>--</v>
          </cell>
          <cell r="BM125" t="str">
            <v>--</v>
          </cell>
          <cell r="BN125" t="str">
            <v>--</v>
          </cell>
          <cell r="BO125" t="str">
            <v>--</v>
          </cell>
          <cell r="BP125" t="str">
            <v>--</v>
          </cell>
          <cell r="BQ125" t="str">
            <v>--</v>
          </cell>
          <cell r="BR125" t="str">
            <v>--</v>
          </cell>
          <cell r="BS125" t="str">
            <v>--</v>
          </cell>
          <cell r="BT125" t="str">
            <v>--</v>
          </cell>
          <cell r="BU125" t="str">
            <v>--</v>
          </cell>
          <cell r="BV125" t="str">
            <v>--</v>
          </cell>
          <cell r="BW125" t="str">
            <v>--</v>
          </cell>
          <cell r="BX125" t="str">
            <v>--</v>
          </cell>
          <cell r="BY125" t="str">
            <v>--</v>
          </cell>
          <cell r="BZ125" t="str">
            <v>--</v>
          </cell>
          <cell r="CA125" t="str">
            <v>--</v>
          </cell>
          <cell r="CB125" t="str">
            <v>--</v>
          </cell>
          <cell r="CC125" t="str">
            <v>--</v>
          </cell>
          <cell r="CD125" t="str">
            <v>--</v>
          </cell>
          <cell r="CE125" t="str">
            <v>--</v>
          </cell>
          <cell r="CF125" t="str">
            <v>--</v>
          </cell>
          <cell r="CG125" t="str">
            <v>--</v>
          </cell>
          <cell r="CH125" t="str">
            <v>--</v>
          </cell>
          <cell r="CI125" t="str">
            <v>--</v>
          </cell>
          <cell r="CJ125" t="str">
            <v>--</v>
          </cell>
          <cell r="CK125" t="str">
            <v>--</v>
          </cell>
          <cell r="CL125" t="str">
            <v>--</v>
          </cell>
          <cell r="CM125" t="str">
            <v>--</v>
          </cell>
          <cell r="CN125" t="str">
            <v>--</v>
          </cell>
          <cell r="CO125" t="str">
            <v>--</v>
          </cell>
          <cell r="CP125" t="str">
            <v>--</v>
          </cell>
          <cell r="CQ125" t="str">
            <v>--</v>
          </cell>
          <cell r="CR125" t="str">
            <v>--</v>
          </cell>
          <cell r="CS125" t="str">
            <v>--</v>
          </cell>
          <cell r="CT125" t="str">
            <v>--</v>
          </cell>
          <cell r="CU125" t="str">
            <v>--</v>
          </cell>
          <cell r="CV125" t="str">
            <v>--</v>
          </cell>
          <cell r="CW125" t="str">
            <v>--</v>
          </cell>
          <cell r="CX125" t="str">
            <v>--</v>
          </cell>
          <cell r="CY125" t="str">
            <v>--</v>
          </cell>
          <cell r="CZ125" t="str">
            <v>--</v>
          </cell>
          <cell r="DA125" t="str">
            <v>--</v>
          </cell>
          <cell r="DB125" t="str">
            <v>--</v>
          </cell>
          <cell r="DC125" t="str">
            <v>--</v>
          </cell>
          <cell r="DD125" t="str">
            <v>--</v>
          </cell>
          <cell r="DE125" t="str">
            <v>--</v>
          </cell>
          <cell r="DF125" t="str">
            <v>--</v>
          </cell>
          <cell r="DG125" t="str">
            <v>--</v>
          </cell>
          <cell r="DH125" t="str">
            <v>--</v>
          </cell>
          <cell r="DI125" t="str">
            <v>--</v>
          </cell>
          <cell r="DJ125" t="str">
            <v>--</v>
          </cell>
          <cell r="DK125" t="str">
            <v>--</v>
          </cell>
          <cell r="DL125" t="str">
            <v>--</v>
          </cell>
          <cell r="DM125" t="str">
            <v>--</v>
          </cell>
          <cell r="DN125" t="str">
            <v>--</v>
          </cell>
          <cell r="DO125" t="str">
            <v>--</v>
          </cell>
          <cell r="DP125" t="str">
            <v>--</v>
          </cell>
          <cell r="DQ125" t="str">
            <v>--</v>
          </cell>
          <cell r="DR125" t="str">
            <v>--</v>
          </cell>
          <cell r="DS125" t="str">
            <v>--</v>
          </cell>
          <cell r="DT125" t="str">
            <v>--</v>
          </cell>
          <cell r="DU125" t="str">
            <v>--</v>
          </cell>
          <cell r="DV125" t="str">
            <v>--</v>
          </cell>
          <cell r="DW125" t="str">
            <v>--</v>
          </cell>
          <cell r="DX125" t="str">
            <v>--</v>
          </cell>
          <cell r="DY125" t="str">
            <v>--</v>
          </cell>
          <cell r="DZ125" t="str">
            <v>--</v>
          </cell>
          <cell r="EA125" t="str">
            <v>--</v>
          </cell>
          <cell r="EB125" t="str">
            <v>--</v>
          </cell>
          <cell r="EC125" t="str">
            <v>--</v>
          </cell>
          <cell r="ED125" t="str">
            <v>--</v>
          </cell>
          <cell r="EE125" t="str">
            <v>--</v>
          </cell>
          <cell r="EF125" t="str">
            <v>--</v>
          </cell>
          <cell r="EG125" t="str">
            <v>--</v>
          </cell>
        </row>
        <row r="126">
          <cell r="A126" t="str">
            <v>01370025Students w/disabilities</v>
          </cell>
          <cell r="B126" t="str">
            <v>01370025D</v>
          </cell>
          <cell r="C126" t="str">
            <v>0137</v>
          </cell>
          <cell r="D126" t="str">
            <v>01370025</v>
          </cell>
          <cell r="E126" t="str">
            <v>Holyoke</v>
          </cell>
          <cell r="F126" t="str">
            <v>Morgan Elementary</v>
          </cell>
          <cell r="G126" t="str">
            <v>ESMS</v>
          </cell>
          <cell r="H126" t="str">
            <v>Holyoke - Morgan Elementary (01370025)</v>
          </cell>
          <cell r="I126" t="str">
            <v>Students w/disabilities</v>
          </cell>
          <cell r="J126" t="str">
            <v>01370025Students w/disabilities</v>
          </cell>
          <cell r="K126" t="str">
            <v>Level 4</v>
          </cell>
          <cell r="L126">
            <v>41.8</v>
          </cell>
          <cell r="M126">
            <v>46.7</v>
          </cell>
          <cell r="N126">
            <v>35.5</v>
          </cell>
          <cell r="O126">
            <v>51.5</v>
          </cell>
          <cell r="P126">
            <v>31.4</v>
          </cell>
          <cell r="Q126">
            <v>56.4</v>
          </cell>
          <cell r="R126">
            <v>61.2</v>
          </cell>
          <cell r="S126">
            <v>66.099999999999994</v>
          </cell>
          <cell r="T126">
            <v>70.900000000000006</v>
          </cell>
          <cell r="U126">
            <v>28.1</v>
          </cell>
          <cell r="V126">
            <v>34.1</v>
          </cell>
          <cell r="W126">
            <v>28.6</v>
          </cell>
          <cell r="X126">
            <v>40.1</v>
          </cell>
          <cell r="Y126">
            <v>26.8</v>
          </cell>
          <cell r="Z126">
            <v>46.1</v>
          </cell>
          <cell r="AA126">
            <v>52.1</v>
          </cell>
          <cell r="AB126">
            <v>58.1</v>
          </cell>
          <cell r="AC126">
            <v>64.099999999999994</v>
          </cell>
          <cell r="AD126">
            <v>25</v>
          </cell>
          <cell r="AE126">
            <v>31.3</v>
          </cell>
          <cell r="AF126">
            <v>35.700000000000003</v>
          </cell>
          <cell r="AG126">
            <v>37.5</v>
          </cell>
          <cell r="AH126">
            <v>28.9</v>
          </cell>
          <cell r="AI126">
            <v>43.8</v>
          </cell>
          <cell r="AJ126">
            <v>50</v>
          </cell>
          <cell r="AK126">
            <v>56.3</v>
          </cell>
          <cell r="AL126">
            <v>62.5</v>
          </cell>
          <cell r="AM126" t="str">
            <v>--</v>
          </cell>
          <cell r="AN126" t="str">
            <v>--</v>
          </cell>
          <cell r="AO126" t="str">
            <v>--</v>
          </cell>
          <cell r="AP126" t="str">
            <v>--</v>
          </cell>
          <cell r="AQ126" t="str">
            <v>--</v>
          </cell>
          <cell r="AR126" t="str">
            <v>--</v>
          </cell>
          <cell r="AS126" t="str">
            <v>--</v>
          </cell>
          <cell r="AT126" t="str">
            <v>--</v>
          </cell>
          <cell r="AU126" t="str">
            <v>--</v>
          </cell>
          <cell r="AV126" t="str">
            <v>--</v>
          </cell>
          <cell r="AW126" t="str">
            <v>--</v>
          </cell>
          <cell r="AX126" t="str">
            <v>--</v>
          </cell>
          <cell r="AY126" t="str">
            <v>--</v>
          </cell>
          <cell r="AZ126" t="str">
            <v>--</v>
          </cell>
          <cell r="BA126" t="str">
            <v>--</v>
          </cell>
          <cell r="BB126" t="str">
            <v>--</v>
          </cell>
          <cell r="BC126" t="str">
            <v>--</v>
          </cell>
          <cell r="BD126" t="str">
            <v>--</v>
          </cell>
          <cell r="BE126" t="str">
            <v>--</v>
          </cell>
          <cell r="BF126" t="str">
            <v>--</v>
          </cell>
          <cell r="BG126" t="str">
            <v>--</v>
          </cell>
          <cell r="BH126" t="str">
            <v>--</v>
          </cell>
          <cell r="BI126" t="str">
            <v>--</v>
          </cell>
          <cell r="BJ126" t="str">
            <v>--</v>
          </cell>
          <cell r="BK126" t="str">
            <v>--</v>
          </cell>
          <cell r="BL126" t="str">
            <v>--</v>
          </cell>
          <cell r="BM126" t="str">
            <v>--</v>
          </cell>
          <cell r="BN126">
            <v>57.5</v>
          </cell>
          <cell r="BO126">
            <v>51</v>
          </cell>
          <cell r="BP126">
            <v>49.5</v>
          </cell>
          <cell r="BQ126">
            <v>51</v>
          </cell>
          <cell r="BR126">
            <v>25</v>
          </cell>
          <cell r="BS126">
            <v>35</v>
          </cell>
          <cell r="BT126">
            <v>45</v>
          </cell>
          <cell r="BU126">
            <v>51</v>
          </cell>
          <cell r="BV126">
            <v>51</v>
          </cell>
          <cell r="BW126">
            <v>63</v>
          </cell>
          <cell r="BX126">
            <v>51</v>
          </cell>
          <cell r="BY126">
            <v>46.5</v>
          </cell>
          <cell r="BZ126">
            <v>51</v>
          </cell>
          <cell r="CA126">
            <v>47</v>
          </cell>
          <cell r="CB126">
            <v>51</v>
          </cell>
          <cell r="CC126">
            <v>51</v>
          </cell>
          <cell r="CD126">
            <v>51</v>
          </cell>
          <cell r="CE126">
            <v>51</v>
          </cell>
          <cell r="CF126">
            <v>46.9</v>
          </cell>
          <cell r="CG126">
            <v>42.2</v>
          </cell>
          <cell r="CH126">
            <v>63.6</v>
          </cell>
          <cell r="CI126">
            <v>57.2</v>
          </cell>
          <cell r="CJ126">
            <v>74.5</v>
          </cell>
          <cell r="CK126">
            <v>67.099999999999994</v>
          </cell>
          <cell r="CL126">
            <v>60.3</v>
          </cell>
          <cell r="CM126">
            <v>54.3</v>
          </cell>
          <cell r="CN126">
            <v>48.9</v>
          </cell>
          <cell r="CO126">
            <v>71.400000000000006</v>
          </cell>
          <cell r="CP126">
            <v>64.3</v>
          </cell>
          <cell r="CQ126">
            <v>78.2</v>
          </cell>
          <cell r="CR126">
            <v>70.400000000000006</v>
          </cell>
          <cell r="CS126">
            <v>89.5</v>
          </cell>
          <cell r="CT126">
            <v>80.599999999999994</v>
          </cell>
          <cell r="CU126">
            <v>72.5</v>
          </cell>
          <cell r="CV126">
            <v>65.2</v>
          </cell>
          <cell r="CW126">
            <v>58.7</v>
          </cell>
          <cell r="CX126">
            <v>66.7</v>
          </cell>
          <cell r="CY126">
            <v>76.099999999999994</v>
          </cell>
          <cell r="CZ126">
            <v>76.2</v>
          </cell>
          <cell r="DA126">
            <v>68.599999999999994</v>
          </cell>
          <cell r="DB126">
            <v>78.900000000000006</v>
          </cell>
          <cell r="DC126">
            <v>68.599999999999994</v>
          </cell>
          <cell r="DD126">
            <v>61.7</v>
          </cell>
          <cell r="DE126">
            <v>55.5</v>
          </cell>
          <cell r="DF126">
            <v>50</v>
          </cell>
          <cell r="DG126">
            <v>0</v>
          </cell>
          <cell r="DH126">
            <v>1</v>
          </cell>
          <cell r="DI126">
            <v>0</v>
          </cell>
          <cell r="DJ126">
            <v>1</v>
          </cell>
          <cell r="DK126">
            <v>0</v>
          </cell>
          <cell r="DL126">
            <v>1</v>
          </cell>
          <cell r="DM126">
            <v>1.1000000000000001</v>
          </cell>
          <cell r="DN126">
            <v>1.2</v>
          </cell>
          <cell r="DO126">
            <v>1.3</v>
          </cell>
          <cell r="DP126">
            <v>0</v>
          </cell>
          <cell r="DQ126">
            <v>1</v>
          </cell>
          <cell r="DR126">
            <v>0</v>
          </cell>
          <cell r="DS126">
            <v>1</v>
          </cell>
          <cell r="DT126">
            <v>0</v>
          </cell>
          <cell r="DU126">
            <v>1</v>
          </cell>
          <cell r="DV126">
            <v>1.1000000000000001</v>
          </cell>
          <cell r="DW126">
            <v>1.2</v>
          </cell>
          <cell r="DX126">
            <v>1.3</v>
          </cell>
          <cell r="DY126">
            <v>0</v>
          </cell>
          <cell r="DZ126">
            <v>1</v>
          </cell>
          <cell r="EA126">
            <v>0</v>
          </cell>
          <cell r="EB126">
            <v>1</v>
          </cell>
          <cell r="EC126">
            <v>0</v>
          </cell>
          <cell r="ED126">
            <v>1</v>
          </cell>
          <cell r="EE126">
            <v>1.1000000000000001</v>
          </cell>
          <cell r="EF126">
            <v>1.2</v>
          </cell>
          <cell r="EG126">
            <v>1.3</v>
          </cell>
        </row>
        <row r="127">
          <cell r="A127" t="str">
            <v>01370025Low income</v>
          </cell>
          <cell r="B127" t="str">
            <v>01370025F</v>
          </cell>
          <cell r="C127" t="str">
            <v>0137</v>
          </cell>
          <cell r="D127" t="str">
            <v>01370025</v>
          </cell>
          <cell r="E127" t="str">
            <v>Holyoke</v>
          </cell>
          <cell r="F127" t="str">
            <v>Morgan Elementary</v>
          </cell>
          <cell r="G127" t="str">
            <v>ESMS</v>
          </cell>
          <cell r="H127" t="str">
            <v>Holyoke - Morgan Elementary (01370025)</v>
          </cell>
          <cell r="I127" t="str">
            <v>Low income</v>
          </cell>
          <cell r="J127" t="str">
            <v>01370025Low income</v>
          </cell>
          <cell r="K127" t="str">
            <v>Level 4</v>
          </cell>
          <cell r="L127">
            <v>56.7</v>
          </cell>
          <cell r="M127">
            <v>60.3</v>
          </cell>
          <cell r="N127">
            <v>54.5</v>
          </cell>
          <cell r="O127">
            <v>63.9</v>
          </cell>
          <cell r="P127">
            <v>51.7</v>
          </cell>
          <cell r="Q127">
            <v>67.5</v>
          </cell>
          <cell r="R127">
            <v>71.099999999999994</v>
          </cell>
          <cell r="S127">
            <v>74.7</v>
          </cell>
          <cell r="T127">
            <v>78.400000000000006</v>
          </cell>
          <cell r="U127">
            <v>45.4</v>
          </cell>
          <cell r="V127">
            <v>50</v>
          </cell>
          <cell r="W127">
            <v>43.3</v>
          </cell>
          <cell r="X127">
            <v>54.5</v>
          </cell>
          <cell r="Y127">
            <v>43.5</v>
          </cell>
          <cell r="Z127">
            <v>59.1</v>
          </cell>
          <cell r="AA127">
            <v>63.6</v>
          </cell>
          <cell r="AB127">
            <v>68.2</v>
          </cell>
          <cell r="AC127">
            <v>72.7</v>
          </cell>
          <cell r="AD127">
            <v>38</v>
          </cell>
          <cell r="AE127">
            <v>43.2</v>
          </cell>
          <cell r="AF127">
            <v>35.299999999999997</v>
          </cell>
          <cell r="AG127">
            <v>48.3</v>
          </cell>
          <cell r="AH127">
            <v>37.299999999999997</v>
          </cell>
          <cell r="AI127">
            <v>53.5</v>
          </cell>
          <cell r="AJ127">
            <v>58.7</v>
          </cell>
          <cell r="AK127">
            <v>63.8</v>
          </cell>
          <cell r="AL127">
            <v>69</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v>52.5</v>
          </cell>
          <cell r="BO127">
            <v>51</v>
          </cell>
          <cell r="BP127">
            <v>58</v>
          </cell>
          <cell r="BQ127">
            <v>51</v>
          </cell>
          <cell r="BR127">
            <v>44</v>
          </cell>
          <cell r="BS127">
            <v>51</v>
          </cell>
          <cell r="BT127">
            <v>51</v>
          </cell>
          <cell r="BU127">
            <v>51</v>
          </cell>
          <cell r="BV127">
            <v>51</v>
          </cell>
          <cell r="BW127">
            <v>67.5</v>
          </cell>
          <cell r="BX127">
            <v>51</v>
          </cell>
          <cell r="BY127">
            <v>58.5</v>
          </cell>
          <cell r="BZ127">
            <v>51</v>
          </cell>
          <cell r="CA127">
            <v>49</v>
          </cell>
          <cell r="CB127">
            <v>51</v>
          </cell>
          <cell r="CC127">
            <v>51</v>
          </cell>
          <cell r="CD127">
            <v>51</v>
          </cell>
          <cell r="CE127">
            <v>51</v>
          </cell>
          <cell r="CF127">
            <v>30.5</v>
          </cell>
          <cell r="CG127">
            <v>27.5</v>
          </cell>
          <cell r="CH127">
            <v>38.700000000000003</v>
          </cell>
          <cell r="CI127">
            <v>34.799999999999997</v>
          </cell>
          <cell r="CJ127">
            <v>42</v>
          </cell>
          <cell r="CK127">
            <v>37.799999999999997</v>
          </cell>
          <cell r="CL127">
            <v>34</v>
          </cell>
          <cell r="CM127">
            <v>30.6</v>
          </cell>
          <cell r="CN127">
            <v>27.6</v>
          </cell>
          <cell r="CO127">
            <v>48</v>
          </cell>
          <cell r="CP127">
            <v>43.2</v>
          </cell>
          <cell r="CQ127">
            <v>56</v>
          </cell>
          <cell r="CR127">
            <v>50.4</v>
          </cell>
          <cell r="CS127">
            <v>57.9</v>
          </cell>
          <cell r="CT127">
            <v>52.1</v>
          </cell>
          <cell r="CU127">
            <v>46.9</v>
          </cell>
          <cell r="CV127">
            <v>42.2</v>
          </cell>
          <cell r="CW127">
            <v>38</v>
          </cell>
          <cell r="CX127">
            <v>57</v>
          </cell>
          <cell r="CY127">
            <v>51.3</v>
          </cell>
          <cell r="CZ127">
            <v>71.2</v>
          </cell>
          <cell r="DA127">
            <v>64.099999999999994</v>
          </cell>
          <cell r="DB127">
            <v>60</v>
          </cell>
          <cell r="DC127">
            <v>54</v>
          </cell>
          <cell r="DD127">
            <v>48.6</v>
          </cell>
          <cell r="DE127">
            <v>43.7</v>
          </cell>
          <cell r="DF127">
            <v>39.4</v>
          </cell>
          <cell r="DG127">
            <v>0</v>
          </cell>
          <cell r="DH127">
            <v>1</v>
          </cell>
          <cell r="DI127">
            <v>0</v>
          </cell>
          <cell r="DJ127">
            <v>1</v>
          </cell>
          <cell r="DK127">
            <v>0</v>
          </cell>
          <cell r="DL127">
            <v>1</v>
          </cell>
          <cell r="DM127">
            <v>1.1000000000000001</v>
          </cell>
          <cell r="DN127">
            <v>1.2</v>
          </cell>
          <cell r="DO127">
            <v>1.3</v>
          </cell>
          <cell r="DP127">
            <v>0.5</v>
          </cell>
          <cell r="DQ127">
            <v>0.6</v>
          </cell>
          <cell r="DR127">
            <v>1.9</v>
          </cell>
          <cell r="DS127">
            <v>2.1</v>
          </cell>
          <cell r="DT127">
            <v>1.3</v>
          </cell>
          <cell r="DU127">
            <v>1.4</v>
          </cell>
          <cell r="DV127">
            <v>1.6</v>
          </cell>
          <cell r="DW127">
            <v>1.7</v>
          </cell>
          <cell r="DX127">
            <v>1.9</v>
          </cell>
          <cell r="DY127">
            <v>0</v>
          </cell>
          <cell r="DZ127">
            <v>1</v>
          </cell>
          <cell r="EA127">
            <v>0</v>
          </cell>
          <cell r="EB127">
            <v>1</v>
          </cell>
          <cell r="EC127">
            <v>0</v>
          </cell>
          <cell r="ED127">
            <v>1</v>
          </cell>
          <cell r="EE127">
            <v>1.1000000000000001</v>
          </cell>
          <cell r="EF127">
            <v>1.2</v>
          </cell>
          <cell r="EG127">
            <v>1.3</v>
          </cell>
        </row>
        <row r="128">
          <cell r="A128" t="str">
            <v>01370025Hispanic/Latino</v>
          </cell>
          <cell r="B128" t="str">
            <v>01370025H</v>
          </cell>
          <cell r="C128" t="str">
            <v>0137</v>
          </cell>
          <cell r="D128" t="str">
            <v>01370025</v>
          </cell>
          <cell r="E128" t="str">
            <v>Holyoke</v>
          </cell>
          <cell r="F128" t="str">
            <v>Morgan Elementary</v>
          </cell>
          <cell r="G128" t="str">
            <v>ESMS</v>
          </cell>
          <cell r="H128" t="str">
            <v>Holyoke - Morgan Elementary (01370025)</v>
          </cell>
          <cell r="I128" t="str">
            <v>Hispanic/Latino</v>
          </cell>
          <cell r="J128" t="str">
            <v>01370025Hispanic/Latino</v>
          </cell>
          <cell r="K128" t="str">
            <v>Level 4</v>
          </cell>
          <cell r="L128">
            <v>55.9</v>
          </cell>
          <cell r="M128">
            <v>59.6</v>
          </cell>
          <cell r="N128">
            <v>53.8</v>
          </cell>
          <cell r="O128">
            <v>63.3</v>
          </cell>
          <cell r="P128">
            <v>50.2</v>
          </cell>
          <cell r="Q128">
            <v>66.900000000000006</v>
          </cell>
          <cell r="R128">
            <v>70.599999999999994</v>
          </cell>
          <cell r="S128">
            <v>74.3</v>
          </cell>
          <cell r="T128">
            <v>78</v>
          </cell>
          <cell r="U128">
            <v>45.5</v>
          </cell>
          <cell r="V128">
            <v>50</v>
          </cell>
          <cell r="W128">
            <v>42.1</v>
          </cell>
          <cell r="X128">
            <v>54.6</v>
          </cell>
          <cell r="Y128">
            <v>42.8</v>
          </cell>
          <cell r="Z128">
            <v>59.1</v>
          </cell>
          <cell r="AA128">
            <v>63.7</v>
          </cell>
          <cell r="AB128">
            <v>68.2</v>
          </cell>
          <cell r="AC128">
            <v>72.8</v>
          </cell>
          <cell r="AD128">
            <v>38.4</v>
          </cell>
          <cell r="AE128">
            <v>43.5</v>
          </cell>
          <cell r="AF128">
            <v>36.200000000000003</v>
          </cell>
          <cell r="AG128">
            <v>48.7</v>
          </cell>
          <cell r="AH128">
            <v>35.4</v>
          </cell>
          <cell r="AI128">
            <v>53.8</v>
          </cell>
          <cell r="AJ128">
            <v>58.9</v>
          </cell>
          <cell r="AK128">
            <v>64.099999999999994</v>
          </cell>
          <cell r="AL128">
            <v>69.2</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v>51</v>
          </cell>
          <cell r="BO128">
            <v>51</v>
          </cell>
          <cell r="BP128">
            <v>58</v>
          </cell>
          <cell r="BQ128">
            <v>51</v>
          </cell>
          <cell r="BR128">
            <v>44</v>
          </cell>
          <cell r="BS128">
            <v>51</v>
          </cell>
          <cell r="BT128">
            <v>51</v>
          </cell>
          <cell r="BU128">
            <v>51</v>
          </cell>
          <cell r="BV128">
            <v>51</v>
          </cell>
          <cell r="BW128">
            <v>69.5</v>
          </cell>
          <cell r="BX128">
            <v>51</v>
          </cell>
          <cell r="BY128">
            <v>63</v>
          </cell>
          <cell r="BZ128">
            <v>51</v>
          </cell>
          <cell r="CA128">
            <v>50.5</v>
          </cell>
          <cell r="CB128">
            <v>51</v>
          </cell>
          <cell r="CC128">
            <v>51</v>
          </cell>
          <cell r="CD128">
            <v>51</v>
          </cell>
          <cell r="CE128">
            <v>51</v>
          </cell>
          <cell r="CF128">
            <v>32</v>
          </cell>
          <cell r="CG128">
            <v>28.8</v>
          </cell>
          <cell r="CH128">
            <v>39.799999999999997</v>
          </cell>
          <cell r="CI128">
            <v>35.799999999999997</v>
          </cell>
          <cell r="CJ128">
            <v>43.8</v>
          </cell>
          <cell r="CK128">
            <v>39.4</v>
          </cell>
          <cell r="CL128">
            <v>35.5</v>
          </cell>
          <cell r="CM128">
            <v>31.9</v>
          </cell>
          <cell r="CN128">
            <v>28.7</v>
          </cell>
          <cell r="CO128">
            <v>48.2</v>
          </cell>
          <cell r="CP128">
            <v>43.4</v>
          </cell>
          <cell r="CQ128">
            <v>58.5</v>
          </cell>
          <cell r="CR128">
            <v>52.7</v>
          </cell>
          <cell r="CS128">
            <v>58.6</v>
          </cell>
          <cell r="CT128">
            <v>52.7</v>
          </cell>
          <cell r="CU128">
            <v>47.5</v>
          </cell>
          <cell r="CV128">
            <v>42.7</v>
          </cell>
          <cell r="CW128">
            <v>38.4</v>
          </cell>
          <cell r="CX128">
            <v>56.3</v>
          </cell>
          <cell r="CY128">
            <v>50.7</v>
          </cell>
          <cell r="CZ128">
            <v>70.099999999999994</v>
          </cell>
          <cell r="DA128">
            <v>63.1</v>
          </cell>
          <cell r="DB128">
            <v>65.7</v>
          </cell>
          <cell r="DC128">
            <v>59.1</v>
          </cell>
          <cell r="DD128">
            <v>53.2</v>
          </cell>
          <cell r="DE128">
            <v>47.9</v>
          </cell>
          <cell r="DF128">
            <v>43.1</v>
          </cell>
          <cell r="DG128">
            <v>0</v>
          </cell>
          <cell r="DH128">
            <v>1</v>
          </cell>
          <cell r="DI128">
            <v>0</v>
          </cell>
          <cell r="DJ128">
            <v>1</v>
          </cell>
          <cell r="DK128">
            <v>0</v>
          </cell>
          <cell r="DL128">
            <v>1</v>
          </cell>
          <cell r="DM128">
            <v>1.1000000000000001</v>
          </cell>
          <cell r="DN128">
            <v>1.2</v>
          </cell>
          <cell r="DO128">
            <v>1.3</v>
          </cell>
          <cell r="DP128">
            <v>0.5</v>
          </cell>
          <cell r="DQ128">
            <v>0.6</v>
          </cell>
          <cell r="DR128">
            <v>1.5</v>
          </cell>
          <cell r="DS128">
            <v>1.7</v>
          </cell>
          <cell r="DT128">
            <v>0.9</v>
          </cell>
          <cell r="DU128">
            <v>1</v>
          </cell>
          <cell r="DV128">
            <v>1.1000000000000001</v>
          </cell>
          <cell r="DW128">
            <v>1.2</v>
          </cell>
          <cell r="DX128">
            <v>1.3</v>
          </cell>
          <cell r="DY128">
            <v>0</v>
          </cell>
          <cell r="DZ128">
            <v>1</v>
          </cell>
          <cell r="EA128">
            <v>0</v>
          </cell>
          <cell r="EB128">
            <v>1</v>
          </cell>
          <cell r="EC128">
            <v>0</v>
          </cell>
          <cell r="ED128">
            <v>1</v>
          </cell>
          <cell r="EE128">
            <v>1.1000000000000001</v>
          </cell>
          <cell r="EF128">
            <v>1.2</v>
          </cell>
          <cell r="EG128">
            <v>1.3</v>
          </cell>
        </row>
        <row r="129">
          <cell r="A129" t="str">
            <v>01370025ELL and Former ELL</v>
          </cell>
          <cell r="B129" t="str">
            <v>01370025L</v>
          </cell>
          <cell r="C129" t="str">
            <v>0137</v>
          </cell>
          <cell r="D129" t="str">
            <v>01370025</v>
          </cell>
          <cell r="E129" t="str">
            <v>Holyoke</v>
          </cell>
          <cell r="F129" t="str">
            <v>Morgan Elementary</v>
          </cell>
          <cell r="G129" t="str">
            <v>ESMS</v>
          </cell>
          <cell r="H129" t="str">
            <v>Holyoke - Morgan Elementary (01370025)</v>
          </cell>
          <cell r="I129" t="str">
            <v>ELL and Former ELL</v>
          </cell>
          <cell r="J129" t="str">
            <v>01370025ELL and Former ELL</v>
          </cell>
          <cell r="K129" t="str">
            <v>Level 4</v>
          </cell>
          <cell r="L129">
            <v>45.1</v>
          </cell>
          <cell r="M129">
            <v>49.7</v>
          </cell>
          <cell r="N129">
            <v>43.8</v>
          </cell>
          <cell r="O129">
            <v>54.3</v>
          </cell>
          <cell r="P129">
            <v>39</v>
          </cell>
          <cell r="Q129">
            <v>58.8</v>
          </cell>
          <cell r="R129">
            <v>63.4</v>
          </cell>
          <cell r="S129">
            <v>68</v>
          </cell>
          <cell r="T129">
            <v>72.599999999999994</v>
          </cell>
          <cell r="U129">
            <v>38.299999999999997</v>
          </cell>
          <cell r="V129">
            <v>43.4</v>
          </cell>
          <cell r="W129">
            <v>33.700000000000003</v>
          </cell>
          <cell r="X129">
            <v>48.6</v>
          </cell>
          <cell r="Y129">
            <v>39</v>
          </cell>
          <cell r="Z129">
            <v>53.7</v>
          </cell>
          <cell r="AA129">
            <v>58.9</v>
          </cell>
          <cell r="AB129">
            <v>64</v>
          </cell>
          <cell r="AC129">
            <v>69.2</v>
          </cell>
          <cell r="AD129">
            <v>32</v>
          </cell>
          <cell r="AE129">
            <v>37.700000000000003</v>
          </cell>
          <cell r="AF129">
            <v>25.8</v>
          </cell>
          <cell r="AG129">
            <v>43.3</v>
          </cell>
          <cell r="AH129">
            <v>30.1</v>
          </cell>
          <cell r="AI129">
            <v>49</v>
          </cell>
          <cell r="AJ129">
            <v>54.7</v>
          </cell>
          <cell r="AK129">
            <v>60.3</v>
          </cell>
          <cell r="AL129">
            <v>66</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v>51</v>
          </cell>
          <cell r="BO129">
            <v>51</v>
          </cell>
          <cell r="BP129">
            <v>56</v>
          </cell>
          <cell r="BQ129">
            <v>51</v>
          </cell>
          <cell r="BR129">
            <v>30.5</v>
          </cell>
          <cell r="BS129">
            <v>40.5</v>
          </cell>
          <cell r="BT129">
            <v>50.5</v>
          </cell>
          <cell r="BU129">
            <v>51</v>
          </cell>
          <cell r="BV129">
            <v>51</v>
          </cell>
          <cell r="BW129">
            <v>65</v>
          </cell>
          <cell r="BX129">
            <v>51</v>
          </cell>
          <cell r="BY129">
            <v>63</v>
          </cell>
          <cell r="BZ129">
            <v>51</v>
          </cell>
          <cell r="CA129">
            <v>59</v>
          </cell>
          <cell r="CB129">
            <v>51</v>
          </cell>
          <cell r="CC129">
            <v>51</v>
          </cell>
          <cell r="CD129">
            <v>51</v>
          </cell>
          <cell r="CE129">
            <v>51</v>
          </cell>
          <cell r="CF129">
            <v>46.4</v>
          </cell>
          <cell r="CG129">
            <v>41.8</v>
          </cell>
          <cell r="CH129">
            <v>52.9</v>
          </cell>
          <cell r="CI129">
            <v>47.6</v>
          </cell>
          <cell r="CJ129">
            <v>55.2</v>
          </cell>
          <cell r="CK129">
            <v>49.7</v>
          </cell>
          <cell r="CL129">
            <v>44.7</v>
          </cell>
          <cell r="CM129">
            <v>40.200000000000003</v>
          </cell>
          <cell r="CN129">
            <v>36.200000000000003</v>
          </cell>
          <cell r="CO129">
            <v>60.2</v>
          </cell>
          <cell r="CP129">
            <v>54.2</v>
          </cell>
          <cell r="CQ129">
            <v>71.8</v>
          </cell>
          <cell r="CR129">
            <v>64.599999999999994</v>
          </cell>
          <cell r="CS129">
            <v>61.5</v>
          </cell>
          <cell r="CT129">
            <v>55.4</v>
          </cell>
          <cell r="CU129">
            <v>49.8</v>
          </cell>
          <cell r="CV129">
            <v>44.8</v>
          </cell>
          <cell r="CW129">
            <v>40.4</v>
          </cell>
          <cell r="CX129">
            <v>71.900000000000006</v>
          </cell>
          <cell r="CY129">
            <v>64.7</v>
          </cell>
          <cell r="CZ129">
            <v>87.1</v>
          </cell>
          <cell r="DA129">
            <v>78.400000000000006</v>
          </cell>
          <cell r="DB129">
            <v>76.5</v>
          </cell>
          <cell r="DC129">
            <v>68.900000000000006</v>
          </cell>
          <cell r="DD129">
            <v>62</v>
          </cell>
          <cell r="DE129">
            <v>55.8</v>
          </cell>
          <cell r="DF129">
            <v>50.2</v>
          </cell>
          <cell r="DG129">
            <v>0</v>
          </cell>
          <cell r="DH129">
            <v>1</v>
          </cell>
          <cell r="DI129">
            <v>0</v>
          </cell>
          <cell r="DJ129">
            <v>1</v>
          </cell>
          <cell r="DK129">
            <v>0</v>
          </cell>
          <cell r="DL129">
            <v>1</v>
          </cell>
          <cell r="DM129">
            <v>1.1000000000000001</v>
          </cell>
          <cell r="DN129">
            <v>1.2</v>
          </cell>
          <cell r="DO129">
            <v>1.3</v>
          </cell>
          <cell r="DP129">
            <v>0</v>
          </cell>
          <cell r="DQ129">
            <v>1</v>
          </cell>
          <cell r="DR129">
            <v>1</v>
          </cell>
          <cell r="DS129">
            <v>1.1000000000000001</v>
          </cell>
          <cell r="DT129">
            <v>0.9</v>
          </cell>
          <cell r="DU129">
            <v>1</v>
          </cell>
          <cell r="DV129">
            <v>1.1000000000000001</v>
          </cell>
          <cell r="DW129">
            <v>1.2</v>
          </cell>
          <cell r="DX129">
            <v>1.3</v>
          </cell>
          <cell r="DY129">
            <v>0</v>
          </cell>
          <cell r="DZ129">
            <v>1</v>
          </cell>
          <cell r="EA129">
            <v>0</v>
          </cell>
          <cell r="EB129">
            <v>1</v>
          </cell>
          <cell r="EC129">
            <v>0</v>
          </cell>
          <cell r="ED129">
            <v>1</v>
          </cell>
          <cell r="EE129">
            <v>1.1000000000000001</v>
          </cell>
          <cell r="EF129">
            <v>1.2</v>
          </cell>
          <cell r="EG129">
            <v>1.3</v>
          </cell>
        </row>
        <row r="130">
          <cell r="A130" t="str">
            <v>01370025Multi-race, Non-Hisp./Lat.</v>
          </cell>
          <cell r="B130" t="str">
            <v>01370025M</v>
          </cell>
          <cell r="C130" t="str">
            <v>0137</v>
          </cell>
          <cell r="D130" t="str">
            <v>01370025</v>
          </cell>
          <cell r="E130" t="str">
            <v>Holyoke</v>
          </cell>
          <cell r="F130" t="str">
            <v>Morgan Elementary</v>
          </cell>
          <cell r="G130" t="str">
            <v>ESMS</v>
          </cell>
          <cell r="H130" t="str">
            <v>Holyoke - Morgan Elementary (01370025)</v>
          </cell>
          <cell r="I130" t="str">
            <v>Multi-race, Non-Hisp./Lat.</v>
          </cell>
          <cell r="J130" t="str">
            <v>01370025Multi-race, Non-Hisp./Lat.</v>
          </cell>
          <cell r="K130" t="str">
            <v>Level 4</v>
          </cell>
          <cell r="L130" t="str">
            <v>--</v>
          </cell>
          <cell r="M130" t="str">
            <v>--</v>
          </cell>
          <cell r="N130" t="str">
            <v>--</v>
          </cell>
          <cell r="O130" t="str">
            <v>--</v>
          </cell>
          <cell r="P130" t="str">
            <v>--</v>
          </cell>
          <cell r="Q130" t="str">
            <v>--</v>
          </cell>
          <cell r="R130" t="str">
            <v>--</v>
          </cell>
          <cell r="S130" t="str">
            <v>--</v>
          </cell>
          <cell r="T130" t="str">
            <v>--</v>
          </cell>
          <cell r="U130" t="str">
            <v>--</v>
          </cell>
          <cell r="V130" t="str">
            <v>--</v>
          </cell>
          <cell r="W130" t="str">
            <v>--</v>
          </cell>
          <cell r="X130" t="str">
            <v>--</v>
          </cell>
          <cell r="Y130" t="str">
            <v>--</v>
          </cell>
          <cell r="Z130" t="str">
            <v>--</v>
          </cell>
          <cell r="AA130" t="str">
            <v>--</v>
          </cell>
          <cell r="AB130" t="str">
            <v>--</v>
          </cell>
          <cell r="AC130" t="str">
            <v>--</v>
          </cell>
          <cell r="AD130" t="str">
            <v>--</v>
          </cell>
          <cell r="AE130" t="str">
            <v>--</v>
          </cell>
          <cell r="AF130" t="str">
            <v>--</v>
          </cell>
          <cell r="AG130" t="str">
            <v>--</v>
          </cell>
          <cell r="AH130" t="str">
            <v>--</v>
          </cell>
          <cell r="AI130" t="str">
            <v>--</v>
          </cell>
          <cell r="AJ130" t="str">
            <v>--</v>
          </cell>
          <cell r="AK130" t="str">
            <v>--</v>
          </cell>
          <cell r="AL130" t="str">
            <v>--</v>
          </cell>
          <cell r="AM130" t="str">
            <v>--</v>
          </cell>
          <cell r="AN130" t="str">
            <v>--</v>
          </cell>
          <cell r="AO130" t="str">
            <v>--</v>
          </cell>
          <cell r="AP130" t="str">
            <v>--</v>
          </cell>
          <cell r="AQ130" t="str">
            <v>--</v>
          </cell>
          <cell r="AR130" t="str">
            <v>--</v>
          </cell>
          <cell r="AS130" t="str">
            <v>--</v>
          </cell>
          <cell r="AT130" t="str">
            <v>--</v>
          </cell>
          <cell r="AU130" t="str">
            <v>--</v>
          </cell>
          <cell r="AV130" t="str">
            <v>--</v>
          </cell>
          <cell r="AW130" t="str">
            <v>--</v>
          </cell>
          <cell r="AX130" t="str">
            <v>--</v>
          </cell>
          <cell r="AY130" t="str">
            <v>--</v>
          </cell>
          <cell r="AZ130" t="str">
            <v>--</v>
          </cell>
          <cell r="BA130" t="str">
            <v>--</v>
          </cell>
          <cell r="BB130" t="str">
            <v>--</v>
          </cell>
          <cell r="BC130" t="str">
            <v>--</v>
          </cell>
          <cell r="BD130" t="str">
            <v>--</v>
          </cell>
          <cell r="BE130" t="str">
            <v>--</v>
          </cell>
          <cell r="BF130" t="str">
            <v>--</v>
          </cell>
          <cell r="BG130" t="str">
            <v>--</v>
          </cell>
          <cell r="BH130" t="str">
            <v>--</v>
          </cell>
          <cell r="BI130" t="str">
            <v>--</v>
          </cell>
          <cell r="BJ130" t="str">
            <v>--</v>
          </cell>
          <cell r="BK130" t="str">
            <v>--</v>
          </cell>
          <cell r="BL130" t="str">
            <v>--</v>
          </cell>
          <cell r="BM130" t="str">
            <v>--</v>
          </cell>
          <cell r="BN130" t="str">
            <v>--</v>
          </cell>
          <cell r="BO130" t="str">
            <v>--</v>
          </cell>
          <cell r="BP130" t="str">
            <v>--</v>
          </cell>
          <cell r="BQ130" t="str">
            <v>--</v>
          </cell>
          <cell r="BR130" t="str">
            <v>--</v>
          </cell>
          <cell r="BS130" t="str">
            <v>--</v>
          </cell>
          <cell r="BT130" t="str">
            <v>--</v>
          </cell>
          <cell r="BU130" t="str">
            <v>--</v>
          </cell>
          <cell r="BV130" t="str">
            <v>--</v>
          </cell>
          <cell r="BW130" t="str">
            <v>--</v>
          </cell>
          <cell r="BX130" t="str">
            <v>--</v>
          </cell>
          <cell r="BY130" t="str">
            <v>--</v>
          </cell>
          <cell r="BZ130" t="str">
            <v>--</v>
          </cell>
          <cell r="CA130" t="str">
            <v>--</v>
          </cell>
          <cell r="CB130" t="str">
            <v>--</v>
          </cell>
          <cell r="CC130" t="str">
            <v>--</v>
          </cell>
          <cell r="CD130" t="str">
            <v>--</v>
          </cell>
          <cell r="CE130" t="str">
            <v>--</v>
          </cell>
          <cell r="CF130" t="str">
            <v>--</v>
          </cell>
          <cell r="CG130" t="str">
            <v>--</v>
          </cell>
          <cell r="CH130" t="str">
            <v>--</v>
          </cell>
          <cell r="CI130" t="str">
            <v>--</v>
          </cell>
          <cell r="CJ130" t="str">
            <v>--</v>
          </cell>
          <cell r="CK130" t="str">
            <v>--</v>
          </cell>
          <cell r="CL130" t="str">
            <v>--</v>
          </cell>
          <cell r="CM130" t="str">
            <v>--</v>
          </cell>
          <cell r="CN130" t="str">
            <v>--</v>
          </cell>
          <cell r="CO130" t="str">
            <v>--</v>
          </cell>
          <cell r="CP130" t="str">
            <v>--</v>
          </cell>
          <cell r="CQ130" t="str">
            <v>--</v>
          </cell>
          <cell r="CR130" t="str">
            <v>--</v>
          </cell>
          <cell r="CS130" t="str">
            <v>--</v>
          </cell>
          <cell r="CT130" t="str">
            <v>--</v>
          </cell>
          <cell r="CU130" t="str">
            <v>--</v>
          </cell>
          <cell r="CV130" t="str">
            <v>--</v>
          </cell>
          <cell r="CW130" t="str">
            <v>--</v>
          </cell>
          <cell r="CX130" t="str">
            <v>--</v>
          </cell>
          <cell r="CY130" t="str">
            <v>--</v>
          </cell>
          <cell r="CZ130" t="str">
            <v>--</v>
          </cell>
          <cell r="DA130" t="str">
            <v>--</v>
          </cell>
          <cell r="DB130" t="str">
            <v>--</v>
          </cell>
          <cell r="DC130" t="str">
            <v>--</v>
          </cell>
          <cell r="DD130" t="str">
            <v>--</v>
          </cell>
          <cell r="DE130" t="str">
            <v>--</v>
          </cell>
          <cell r="DF130" t="str">
            <v>--</v>
          </cell>
          <cell r="DG130" t="str">
            <v>--</v>
          </cell>
          <cell r="DH130" t="str">
            <v>--</v>
          </cell>
          <cell r="DI130" t="str">
            <v>--</v>
          </cell>
          <cell r="DJ130" t="str">
            <v>--</v>
          </cell>
          <cell r="DK130" t="str">
            <v>--</v>
          </cell>
          <cell r="DL130" t="str">
            <v>--</v>
          </cell>
          <cell r="DM130" t="str">
            <v>--</v>
          </cell>
          <cell r="DN130" t="str">
            <v>--</v>
          </cell>
          <cell r="DO130" t="str">
            <v>--</v>
          </cell>
          <cell r="DP130" t="str">
            <v>--</v>
          </cell>
          <cell r="DQ130" t="str">
            <v>--</v>
          </cell>
          <cell r="DR130" t="str">
            <v>--</v>
          </cell>
          <cell r="DS130" t="str">
            <v>--</v>
          </cell>
          <cell r="DT130" t="str">
            <v>--</v>
          </cell>
          <cell r="DU130" t="str">
            <v>--</v>
          </cell>
          <cell r="DV130" t="str">
            <v>--</v>
          </cell>
          <cell r="DW130" t="str">
            <v>--</v>
          </cell>
          <cell r="DX130" t="str">
            <v>--</v>
          </cell>
          <cell r="DY130" t="str">
            <v>--</v>
          </cell>
          <cell r="DZ130" t="str">
            <v>--</v>
          </cell>
          <cell r="EA130" t="str">
            <v>--</v>
          </cell>
          <cell r="EB130" t="str">
            <v>--</v>
          </cell>
          <cell r="EC130" t="str">
            <v>--</v>
          </cell>
          <cell r="ED130" t="str">
            <v>--</v>
          </cell>
          <cell r="EE130" t="str">
            <v>--</v>
          </cell>
          <cell r="EF130" t="str">
            <v>--</v>
          </cell>
          <cell r="EG130" t="str">
            <v>--</v>
          </cell>
        </row>
        <row r="131">
          <cell r="A131" t="str">
            <v>01370025Amer. Ind. or Alaska Nat.</v>
          </cell>
          <cell r="B131" t="str">
            <v>01370025N</v>
          </cell>
          <cell r="C131" t="str">
            <v>0137</v>
          </cell>
          <cell r="D131" t="str">
            <v>01370025</v>
          </cell>
          <cell r="E131" t="str">
            <v>Holyoke</v>
          </cell>
          <cell r="F131" t="str">
            <v>Morgan Elementary</v>
          </cell>
          <cell r="G131" t="str">
            <v>ESMS</v>
          </cell>
          <cell r="H131" t="str">
            <v>Holyoke - Morgan Elementary (01370025)</v>
          </cell>
          <cell r="I131" t="str">
            <v>Amer. Ind. or Alaska Nat.</v>
          </cell>
          <cell r="J131" t="str">
            <v>01370025Amer. Ind. or Alaska Nat.</v>
          </cell>
          <cell r="K131" t="str">
            <v>Level 4</v>
          </cell>
          <cell r="L131" t="str">
            <v>--</v>
          </cell>
          <cell r="M131" t="str">
            <v>--</v>
          </cell>
          <cell r="N131" t="str">
            <v>--</v>
          </cell>
          <cell r="O131" t="str">
            <v>--</v>
          </cell>
          <cell r="P131" t="str">
            <v>--</v>
          </cell>
          <cell r="Q131" t="str">
            <v>--</v>
          </cell>
          <cell r="R131" t="str">
            <v>--</v>
          </cell>
          <cell r="S131" t="str">
            <v>--</v>
          </cell>
          <cell r="T131" t="str">
            <v>--</v>
          </cell>
          <cell r="U131" t="str">
            <v>--</v>
          </cell>
          <cell r="V131" t="str">
            <v>--</v>
          </cell>
          <cell r="W131" t="str">
            <v>--</v>
          </cell>
          <cell r="X131" t="str">
            <v>--</v>
          </cell>
          <cell r="Y131" t="str">
            <v>--</v>
          </cell>
          <cell r="Z131" t="str">
            <v>--</v>
          </cell>
          <cell r="AA131" t="str">
            <v>--</v>
          </cell>
          <cell r="AB131" t="str">
            <v>--</v>
          </cell>
          <cell r="AC131" t="str">
            <v>--</v>
          </cell>
          <cell r="AD131" t="str">
            <v>--</v>
          </cell>
          <cell r="AE131" t="str">
            <v>--</v>
          </cell>
          <cell r="AF131" t="str">
            <v>--</v>
          </cell>
          <cell r="AG131" t="str">
            <v>--</v>
          </cell>
          <cell r="AH131" t="str">
            <v>--</v>
          </cell>
          <cell r="AI131" t="str">
            <v>--</v>
          </cell>
          <cell r="AJ131" t="str">
            <v>--</v>
          </cell>
          <cell r="AK131" t="str">
            <v>--</v>
          </cell>
          <cell r="AL131" t="str">
            <v>--</v>
          </cell>
          <cell r="AM131" t="str">
            <v>--</v>
          </cell>
          <cell r="AN131" t="str">
            <v>--</v>
          </cell>
          <cell r="AO131" t="str">
            <v>--</v>
          </cell>
          <cell r="AP131" t="str">
            <v>--</v>
          </cell>
          <cell r="AQ131" t="str">
            <v>--</v>
          </cell>
          <cell r="AR131" t="str">
            <v>--</v>
          </cell>
          <cell r="AS131" t="str">
            <v>--</v>
          </cell>
          <cell r="AT131" t="str">
            <v>--</v>
          </cell>
          <cell r="AU131" t="str">
            <v>--</v>
          </cell>
          <cell r="AV131" t="str">
            <v>--</v>
          </cell>
          <cell r="AW131" t="str">
            <v>--</v>
          </cell>
          <cell r="AX131" t="str">
            <v>--</v>
          </cell>
          <cell r="AY131" t="str">
            <v>--</v>
          </cell>
          <cell r="AZ131" t="str">
            <v>--</v>
          </cell>
          <cell r="BA131" t="str">
            <v>--</v>
          </cell>
          <cell r="BB131" t="str">
            <v>--</v>
          </cell>
          <cell r="BC131" t="str">
            <v>--</v>
          </cell>
          <cell r="BD131" t="str">
            <v>--</v>
          </cell>
          <cell r="BE131" t="str">
            <v>--</v>
          </cell>
          <cell r="BF131" t="str">
            <v>--</v>
          </cell>
          <cell r="BG131" t="str">
            <v>--</v>
          </cell>
          <cell r="BH131" t="str">
            <v>--</v>
          </cell>
          <cell r="BI131" t="str">
            <v>--</v>
          </cell>
          <cell r="BJ131" t="str">
            <v>--</v>
          </cell>
          <cell r="BK131" t="str">
            <v>--</v>
          </cell>
          <cell r="BL131" t="str">
            <v>--</v>
          </cell>
          <cell r="BM131" t="str">
            <v>--</v>
          </cell>
          <cell r="BN131" t="str">
            <v>--</v>
          </cell>
          <cell r="BO131" t="str">
            <v>--</v>
          </cell>
          <cell r="BP131" t="str">
            <v>--</v>
          </cell>
          <cell r="BQ131" t="str">
            <v>--</v>
          </cell>
          <cell r="BR131" t="str">
            <v>--</v>
          </cell>
          <cell r="BS131" t="str">
            <v>--</v>
          </cell>
          <cell r="BT131" t="str">
            <v>--</v>
          </cell>
          <cell r="BU131" t="str">
            <v>--</v>
          </cell>
          <cell r="BV131" t="str">
            <v>--</v>
          </cell>
          <cell r="BW131" t="str">
            <v>--</v>
          </cell>
          <cell r="BX131" t="str">
            <v>--</v>
          </cell>
          <cell r="BY131" t="str">
            <v>--</v>
          </cell>
          <cell r="BZ131" t="str">
            <v>--</v>
          </cell>
          <cell r="CA131" t="str">
            <v>--</v>
          </cell>
          <cell r="CB131" t="str">
            <v>--</v>
          </cell>
          <cell r="CC131" t="str">
            <v>--</v>
          </cell>
          <cell r="CD131" t="str">
            <v>--</v>
          </cell>
          <cell r="CE131" t="str">
            <v>--</v>
          </cell>
          <cell r="CF131" t="str">
            <v>--</v>
          </cell>
          <cell r="CG131" t="str">
            <v>--</v>
          </cell>
          <cell r="CH131" t="str">
            <v>--</v>
          </cell>
          <cell r="CI131" t="str">
            <v>--</v>
          </cell>
          <cell r="CJ131" t="str">
            <v>--</v>
          </cell>
          <cell r="CK131" t="str">
            <v>--</v>
          </cell>
          <cell r="CL131" t="str">
            <v>--</v>
          </cell>
          <cell r="CM131" t="str">
            <v>--</v>
          </cell>
          <cell r="CN131" t="str">
            <v>--</v>
          </cell>
          <cell r="CO131" t="str">
            <v>--</v>
          </cell>
          <cell r="CP131" t="str">
            <v>--</v>
          </cell>
          <cell r="CQ131" t="str">
            <v>--</v>
          </cell>
          <cell r="CR131" t="str">
            <v>--</v>
          </cell>
          <cell r="CS131" t="str">
            <v>--</v>
          </cell>
          <cell r="CT131" t="str">
            <v>--</v>
          </cell>
          <cell r="CU131" t="str">
            <v>--</v>
          </cell>
          <cell r="CV131" t="str">
            <v>--</v>
          </cell>
          <cell r="CW131" t="str">
            <v>--</v>
          </cell>
          <cell r="CX131" t="str">
            <v>--</v>
          </cell>
          <cell r="CY131" t="str">
            <v>--</v>
          </cell>
          <cell r="CZ131" t="str">
            <v>--</v>
          </cell>
          <cell r="DA131" t="str">
            <v>--</v>
          </cell>
          <cell r="DB131" t="str">
            <v>--</v>
          </cell>
          <cell r="DC131" t="str">
            <v>--</v>
          </cell>
          <cell r="DD131" t="str">
            <v>--</v>
          </cell>
          <cell r="DE131" t="str">
            <v>--</v>
          </cell>
          <cell r="DF131" t="str">
            <v>--</v>
          </cell>
          <cell r="DG131" t="str">
            <v>--</v>
          </cell>
          <cell r="DH131" t="str">
            <v>--</v>
          </cell>
          <cell r="DI131" t="str">
            <v>--</v>
          </cell>
          <cell r="DJ131" t="str">
            <v>--</v>
          </cell>
          <cell r="DK131" t="str">
            <v>--</v>
          </cell>
          <cell r="DL131" t="str">
            <v>--</v>
          </cell>
          <cell r="DM131" t="str">
            <v>--</v>
          </cell>
          <cell r="DN131" t="str">
            <v>--</v>
          </cell>
          <cell r="DO131" t="str">
            <v>--</v>
          </cell>
          <cell r="DP131" t="str">
            <v>--</v>
          </cell>
          <cell r="DQ131" t="str">
            <v>--</v>
          </cell>
          <cell r="DR131" t="str">
            <v>--</v>
          </cell>
          <cell r="DS131" t="str">
            <v>--</v>
          </cell>
          <cell r="DT131" t="str">
            <v>--</v>
          </cell>
          <cell r="DU131" t="str">
            <v>--</v>
          </cell>
          <cell r="DV131" t="str">
            <v>--</v>
          </cell>
          <cell r="DW131" t="str">
            <v>--</v>
          </cell>
          <cell r="DX131" t="str">
            <v>--</v>
          </cell>
          <cell r="DY131" t="str">
            <v>--</v>
          </cell>
          <cell r="DZ131" t="str">
            <v>--</v>
          </cell>
          <cell r="EA131" t="str">
            <v>--</v>
          </cell>
          <cell r="EB131" t="str">
            <v>--</v>
          </cell>
          <cell r="EC131" t="str">
            <v>--</v>
          </cell>
          <cell r="ED131" t="str">
            <v>--</v>
          </cell>
          <cell r="EE131" t="str">
            <v>--</v>
          </cell>
          <cell r="EF131" t="str">
            <v>--</v>
          </cell>
          <cell r="EG131" t="str">
            <v>--</v>
          </cell>
        </row>
        <row r="132">
          <cell r="A132" t="str">
            <v>01370025Nat. Haw. or Pacif. Isl.</v>
          </cell>
          <cell r="B132" t="str">
            <v>01370025P</v>
          </cell>
          <cell r="C132" t="str">
            <v>0137</v>
          </cell>
          <cell r="D132" t="str">
            <v>01370025</v>
          </cell>
          <cell r="E132" t="str">
            <v>Holyoke</v>
          </cell>
          <cell r="F132" t="str">
            <v>Morgan Elementary</v>
          </cell>
          <cell r="G132" t="str">
            <v>ESMS</v>
          </cell>
          <cell r="H132" t="str">
            <v>Holyoke - Morgan Elementary (01370025)</v>
          </cell>
          <cell r="I132" t="str">
            <v>Nat. Haw. or Pacif. Isl.</v>
          </cell>
          <cell r="J132" t="str">
            <v>01370025Nat. Haw. or Pacif. Isl.</v>
          </cell>
          <cell r="K132" t="str">
            <v>Level 4</v>
          </cell>
          <cell r="L132" t="str">
            <v>--</v>
          </cell>
          <cell r="M132" t="str">
            <v>--</v>
          </cell>
          <cell r="N132" t="str">
            <v>--</v>
          </cell>
          <cell r="O132" t="str">
            <v>--</v>
          </cell>
          <cell r="P132" t="str">
            <v>--</v>
          </cell>
          <cell r="Q132" t="str">
            <v>--</v>
          </cell>
          <cell r="R132" t="str">
            <v>--</v>
          </cell>
          <cell r="S132" t="str">
            <v>--</v>
          </cell>
          <cell r="T132" t="str">
            <v>--</v>
          </cell>
          <cell r="U132" t="str">
            <v>--</v>
          </cell>
          <cell r="V132" t="str">
            <v>--</v>
          </cell>
          <cell r="W132" t="str">
            <v>--</v>
          </cell>
          <cell r="X132" t="str">
            <v>--</v>
          </cell>
          <cell r="Y132" t="str">
            <v>--</v>
          </cell>
          <cell r="Z132" t="str">
            <v>--</v>
          </cell>
          <cell r="AA132" t="str">
            <v>--</v>
          </cell>
          <cell r="AB132" t="str">
            <v>--</v>
          </cell>
          <cell r="AC132" t="str">
            <v>--</v>
          </cell>
          <cell r="AD132" t="str">
            <v>--</v>
          </cell>
          <cell r="AE132" t="str">
            <v>--</v>
          </cell>
          <cell r="AF132" t="str">
            <v>--</v>
          </cell>
          <cell r="AG132" t="str">
            <v>--</v>
          </cell>
          <cell r="AH132" t="str">
            <v>--</v>
          </cell>
          <cell r="AI132" t="str">
            <v>--</v>
          </cell>
          <cell r="AJ132" t="str">
            <v>--</v>
          </cell>
          <cell r="AK132" t="str">
            <v>--</v>
          </cell>
          <cell r="AL132" t="str">
            <v>--</v>
          </cell>
          <cell r="AM132" t="str">
            <v>--</v>
          </cell>
          <cell r="AN132" t="str">
            <v>--</v>
          </cell>
          <cell r="AO132" t="str">
            <v>--</v>
          </cell>
          <cell r="AP132" t="str">
            <v>--</v>
          </cell>
          <cell r="AQ132" t="str">
            <v>--</v>
          </cell>
          <cell r="AR132" t="str">
            <v>--</v>
          </cell>
          <cell r="AS132" t="str">
            <v>--</v>
          </cell>
          <cell r="AT132" t="str">
            <v>--</v>
          </cell>
          <cell r="AU132" t="str">
            <v>--</v>
          </cell>
          <cell r="AV132" t="str">
            <v>--</v>
          </cell>
          <cell r="AW132" t="str">
            <v>--</v>
          </cell>
          <cell r="AX132" t="str">
            <v>--</v>
          </cell>
          <cell r="AY132" t="str">
            <v>--</v>
          </cell>
          <cell r="AZ132" t="str">
            <v>--</v>
          </cell>
          <cell r="BA132" t="str">
            <v>--</v>
          </cell>
          <cell r="BB132" t="str">
            <v>--</v>
          </cell>
          <cell r="BC132" t="str">
            <v>--</v>
          </cell>
          <cell r="BD132" t="str">
            <v>--</v>
          </cell>
          <cell r="BE132" t="str">
            <v>--</v>
          </cell>
          <cell r="BF132" t="str">
            <v>--</v>
          </cell>
          <cell r="BG132" t="str">
            <v>--</v>
          </cell>
          <cell r="BH132" t="str">
            <v>--</v>
          </cell>
          <cell r="BI132" t="str">
            <v>--</v>
          </cell>
          <cell r="BJ132" t="str">
            <v>--</v>
          </cell>
          <cell r="BK132" t="str">
            <v>--</v>
          </cell>
          <cell r="BL132" t="str">
            <v>--</v>
          </cell>
          <cell r="BM132" t="str">
            <v>--</v>
          </cell>
          <cell r="BN132" t="str">
            <v>--</v>
          </cell>
          <cell r="BO132" t="str">
            <v>--</v>
          </cell>
          <cell r="BP132" t="str">
            <v>--</v>
          </cell>
          <cell r="BQ132" t="str">
            <v>--</v>
          </cell>
          <cell r="BR132" t="str">
            <v>--</v>
          </cell>
          <cell r="BS132" t="str">
            <v>--</v>
          </cell>
          <cell r="BT132" t="str">
            <v>--</v>
          </cell>
          <cell r="BU132" t="str">
            <v>--</v>
          </cell>
          <cell r="BV132" t="str">
            <v>--</v>
          </cell>
          <cell r="BW132" t="str">
            <v>--</v>
          </cell>
          <cell r="BX132" t="str">
            <v>--</v>
          </cell>
          <cell r="BY132" t="str">
            <v>--</v>
          </cell>
          <cell r="BZ132" t="str">
            <v>--</v>
          </cell>
          <cell r="CA132" t="str">
            <v>--</v>
          </cell>
          <cell r="CB132" t="str">
            <v>--</v>
          </cell>
          <cell r="CC132" t="str">
            <v>--</v>
          </cell>
          <cell r="CD132" t="str">
            <v>--</v>
          </cell>
          <cell r="CE132" t="str">
            <v>--</v>
          </cell>
          <cell r="CF132" t="str">
            <v>--</v>
          </cell>
          <cell r="CG132" t="str">
            <v>--</v>
          </cell>
          <cell r="CH132" t="str">
            <v>--</v>
          </cell>
          <cell r="CI132" t="str">
            <v>--</v>
          </cell>
          <cell r="CJ132" t="str">
            <v>--</v>
          </cell>
          <cell r="CK132" t="str">
            <v>--</v>
          </cell>
          <cell r="CL132" t="str">
            <v>--</v>
          </cell>
          <cell r="CM132" t="str">
            <v>--</v>
          </cell>
          <cell r="CN132" t="str">
            <v>--</v>
          </cell>
          <cell r="CO132" t="str">
            <v>--</v>
          </cell>
          <cell r="CP132" t="str">
            <v>--</v>
          </cell>
          <cell r="CQ132" t="str">
            <v>--</v>
          </cell>
          <cell r="CR132" t="str">
            <v>--</v>
          </cell>
          <cell r="CS132" t="str">
            <v>--</v>
          </cell>
          <cell r="CT132" t="str">
            <v>--</v>
          </cell>
          <cell r="CU132" t="str">
            <v>--</v>
          </cell>
          <cell r="CV132" t="str">
            <v>--</v>
          </cell>
          <cell r="CW132" t="str">
            <v>--</v>
          </cell>
          <cell r="CX132" t="str">
            <v>--</v>
          </cell>
          <cell r="CY132" t="str">
            <v>--</v>
          </cell>
          <cell r="CZ132" t="str">
            <v>--</v>
          </cell>
          <cell r="DA132" t="str">
            <v>--</v>
          </cell>
          <cell r="DB132" t="str">
            <v>--</v>
          </cell>
          <cell r="DC132" t="str">
            <v>--</v>
          </cell>
          <cell r="DD132" t="str">
            <v>--</v>
          </cell>
          <cell r="DE132" t="str">
            <v>--</v>
          </cell>
          <cell r="DF132" t="str">
            <v>--</v>
          </cell>
          <cell r="DG132" t="str">
            <v>--</v>
          </cell>
          <cell r="DH132" t="str">
            <v>--</v>
          </cell>
          <cell r="DI132" t="str">
            <v>--</v>
          </cell>
          <cell r="DJ132" t="str">
            <v>--</v>
          </cell>
          <cell r="DK132" t="str">
            <v>--</v>
          </cell>
          <cell r="DL132" t="str">
            <v>--</v>
          </cell>
          <cell r="DM132" t="str">
            <v>--</v>
          </cell>
          <cell r="DN132" t="str">
            <v>--</v>
          </cell>
          <cell r="DO132" t="str">
            <v>--</v>
          </cell>
          <cell r="DP132" t="str">
            <v>--</v>
          </cell>
          <cell r="DQ132" t="str">
            <v>--</v>
          </cell>
          <cell r="DR132" t="str">
            <v>--</v>
          </cell>
          <cell r="DS132" t="str">
            <v>--</v>
          </cell>
          <cell r="DT132" t="str">
            <v>--</v>
          </cell>
          <cell r="DU132" t="str">
            <v>--</v>
          </cell>
          <cell r="DV132" t="str">
            <v>--</v>
          </cell>
          <cell r="DW132" t="str">
            <v>--</v>
          </cell>
          <cell r="DX132" t="str">
            <v>--</v>
          </cell>
          <cell r="DY132" t="str">
            <v>--</v>
          </cell>
          <cell r="DZ132" t="str">
            <v>--</v>
          </cell>
          <cell r="EA132" t="str">
            <v>--</v>
          </cell>
          <cell r="EB132" t="str">
            <v>--</v>
          </cell>
          <cell r="EC132" t="str">
            <v>--</v>
          </cell>
          <cell r="ED132" t="str">
            <v>--</v>
          </cell>
          <cell r="EE132" t="str">
            <v>--</v>
          </cell>
          <cell r="EF132" t="str">
            <v>--</v>
          </cell>
          <cell r="EG132" t="str">
            <v>--</v>
          </cell>
        </row>
        <row r="133">
          <cell r="A133" t="str">
            <v>01370025High needs</v>
          </cell>
          <cell r="B133" t="str">
            <v>01370025S</v>
          </cell>
          <cell r="C133" t="str">
            <v>0137</v>
          </cell>
          <cell r="D133" t="str">
            <v>01370025</v>
          </cell>
          <cell r="E133" t="str">
            <v>Holyoke</v>
          </cell>
          <cell r="F133" t="str">
            <v>Morgan Elementary</v>
          </cell>
          <cell r="G133" t="str">
            <v>ESMS</v>
          </cell>
          <cell r="H133" t="str">
            <v>Holyoke - Morgan Elementary (01370025)</v>
          </cell>
          <cell r="I133" t="str">
            <v>High needs</v>
          </cell>
          <cell r="J133" t="str">
            <v>01370025High needs</v>
          </cell>
          <cell r="K133" t="str">
            <v>Level 4</v>
          </cell>
          <cell r="L133">
            <v>56.5</v>
          </cell>
          <cell r="M133">
            <v>60.1</v>
          </cell>
          <cell r="N133">
            <v>54.5</v>
          </cell>
          <cell r="O133">
            <v>63.8</v>
          </cell>
          <cell r="P133">
            <v>51.6</v>
          </cell>
          <cell r="Q133">
            <v>67.400000000000006</v>
          </cell>
          <cell r="R133">
            <v>71</v>
          </cell>
          <cell r="S133">
            <v>74.599999999999994</v>
          </cell>
          <cell r="T133">
            <v>78.3</v>
          </cell>
          <cell r="U133">
            <v>45.3</v>
          </cell>
          <cell r="V133">
            <v>49.9</v>
          </cell>
          <cell r="W133">
            <v>43.5</v>
          </cell>
          <cell r="X133">
            <v>54.4</v>
          </cell>
          <cell r="Y133">
            <v>43.5</v>
          </cell>
          <cell r="Z133">
            <v>59</v>
          </cell>
          <cell r="AA133">
            <v>63.5</v>
          </cell>
          <cell r="AB133">
            <v>68.099999999999994</v>
          </cell>
          <cell r="AC133">
            <v>72.7</v>
          </cell>
          <cell r="AD133">
            <v>38</v>
          </cell>
          <cell r="AE133">
            <v>43.2</v>
          </cell>
          <cell r="AF133">
            <v>35.1</v>
          </cell>
          <cell r="AG133">
            <v>48.3</v>
          </cell>
          <cell r="AH133">
            <v>37.200000000000003</v>
          </cell>
          <cell r="AI133">
            <v>53.5</v>
          </cell>
          <cell r="AJ133">
            <v>58.7</v>
          </cell>
          <cell r="AK133">
            <v>63.8</v>
          </cell>
          <cell r="AL133">
            <v>69</v>
          </cell>
          <cell r="AM133" t="str">
            <v>--</v>
          </cell>
          <cell r="AN133" t="str">
            <v>--</v>
          </cell>
          <cell r="AO133" t="str">
            <v>--</v>
          </cell>
          <cell r="AP133" t="str">
            <v>--</v>
          </cell>
          <cell r="AQ133" t="str">
            <v>--</v>
          </cell>
          <cell r="AR133" t="str">
            <v>--</v>
          </cell>
          <cell r="AS133" t="str">
            <v>--</v>
          </cell>
          <cell r="AT133" t="str">
            <v>--</v>
          </cell>
          <cell r="AU133" t="str">
            <v>--</v>
          </cell>
          <cell r="AV133" t="str">
            <v>--</v>
          </cell>
          <cell r="AW133" t="str">
            <v>--</v>
          </cell>
          <cell r="AX133" t="str">
            <v>--</v>
          </cell>
          <cell r="AY133" t="str">
            <v>--</v>
          </cell>
          <cell r="AZ133" t="str">
            <v>--</v>
          </cell>
          <cell r="BA133" t="str">
            <v>--</v>
          </cell>
          <cell r="BB133" t="str">
            <v>--</v>
          </cell>
          <cell r="BC133" t="str">
            <v>--</v>
          </cell>
          <cell r="BD133" t="str">
            <v>--</v>
          </cell>
          <cell r="BE133" t="str">
            <v>--</v>
          </cell>
          <cell r="BF133" t="str">
            <v>--</v>
          </cell>
          <cell r="BG133" t="str">
            <v>--</v>
          </cell>
          <cell r="BH133" t="str">
            <v>--</v>
          </cell>
          <cell r="BI133" t="str">
            <v>--</v>
          </cell>
          <cell r="BJ133" t="str">
            <v>--</v>
          </cell>
          <cell r="BK133" t="str">
            <v>--</v>
          </cell>
          <cell r="BL133" t="str">
            <v>--</v>
          </cell>
          <cell r="BM133" t="str">
            <v>--</v>
          </cell>
          <cell r="BN133">
            <v>53</v>
          </cell>
          <cell r="BO133">
            <v>51</v>
          </cell>
          <cell r="BP133">
            <v>58</v>
          </cell>
          <cell r="BQ133">
            <v>51</v>
          </cell>
          <cell r="BR133">
            <v>44</v>
          </cell>
          <cell r="BS133">
            <v>51</v>
          </cell>
          <cell r="BT133">
            <v>51</v>
          </cell>
          <cell r="BU133">
            <v>51</v>
          </cell>
          <cell r="BV133">
            <v>51</v>
          </cell>
          <cell r="BW133">
            <v>68</v>
          </cell>
          <cell r="BX133">
            <v>51</v>
          </cell>
          <cell r="BY133">
            <v>60.5</v>
          </cell>
          <cell r="BZ133">
            <v>51</v>
          </cell>
          <cell r="CA133">
            <v>50</v>
          </cell>
          <cell r="CB133">
            <v>51</v>
          </cell>
          <cell r="CC133">
            <v>51</v>
          </cell>
          <cell r="CD133">
            <v>51</v>
          </cell>
          <cell r="CE133">
            <v>51</v>
          </cell>
          <cell r="CF133">
            <v>30.6</v>
          </cell>
          <cell r="CG133">
            <v>27.5</v>
          </cell>
          <cell r="CH133">
            <v>38.799999999999997</v>
          </cell>
          <cell r="CI133">
            <v>34.9</v>
          </cell>
          <cell r="CJ133">
            <v>41.9</v>
          </cell>
          <cell r="CK133">
            <v>37.700000000000003</v>
          </cell>
          <cell r="CL133">
            <v>33.9</v>
          </cell>
          <cell r="CM133">
            <v>30.5</v>
          </cell>
          <cell r="CN133">
            <v>27.5</v>
          </cell>
          <cell r="CO133">
            <v>48</v>
          </cell>
          <cell r="CP133">
            <v>43.2</v>
          </cell>
          <cell r="CQ133">
            <v>55.5</v>
          </cell>
          <cell r="CR133">
            <v>50</v>
          </cell>
          <cell r="CS133">
            <v>57.6</v>
          </cell>
          <cell r="CT133">
            <v>51.8</v>
          </cell>
          <cell r="CU133">
            <v>46.7</v>
          </cell>
          <cell r="CV133">
            <v>42</v>
          </cell>
          <cell r="CW133">
            <v>37.799999999999997</v>
          </cell>
          <cell r="CX133">
            <v>57</v>
          </cell>
          <cell r="CY133">
            <v>51.3</v>
          </cell>
          <cell r="CZ133">
            <v>71.599999999999994</v>
          </cell>
          <cell r="DA133">
            <v>64.400000000000006</v>
          </cell>
          <cell r="DB133">
            <v>60.5</v>
          </cell>
          <cell r="DC133">
            <v>54.5</v>
          </cell>
          <cell r="DD133">
            <v>49</v>
          </cell>
          <cell r="DE133">
            <v>44.1</v>
          </cell>
          <cell r="DF133">
            <v>39.700000000000003</v>
          </cell>
          <cell r="DG133">
            <v>0</v>
          </cell>
          <cell r="DH133">
            <v>1</v>
          </cell>
          <cell r="DI133">
            <v>0</v>
          </cell>
          <cell r="DJ133">
            <v>1</v>
          </cell>
          <cell r="DK133">
            <v>0</v>
          </cell>
          <cell r="DL133">
            <v>1</v>
          </cell>
          <cell r="DM133">
            <v>1.1000000000000001</v>
          </cell>
          <cell r="DN133">
            <v>1.2</v>
          </cell>
          <cell r="DO133">
            <v>1.3</v>
          </cell>
          <cell r="DP133">
            <v>0.4</v>
          </cell>
          <cell r="DQ133">
            <v>0.4</v>
          </cell>
          <cell r="DR133">
            <v>1.8</v>
          </cell>
          <cell r="DS133">
            <v>2</v>
          </cell>
          <cell r="DT133">
            <v>1.3</v>
          </cell>
          <cell r="DU133">
            <v>1.4</v>
          </cell>
          <cell r="DV133">
            <v>1.6</v>
          </cell>
          <cell r="DW133">
            <v>1.7</v>
          </cell>
          <cell r="DX133">
            <v>1.9</v>
          </cell>
          <cell r="DY133">
            <v>0</v>
          </cell>
          <cell r="DZ133">
            <v>1</v>
          </cell>
          <cell r="EA133">
            <v>0</v>
          </cell>
          <cell r="EB133">
            <v>1</v>
          </cell>
          <cell r="EC133">
            <v>0</v>
          </cell>
          <cell r="ED133">
            <v>1</v>
          </cell>
          <cell r="EE133">
            <v>1.1000000000000001</v>
          </cell>
          <cell r="EF133">
            <v>1.2</v>
          </cell>
          <cell r="EG133">
            <v>1.3</v>
          </cell>
        </row>
        <row r="134">
          <cell r="A134" t="str">
            <v>01370025All students</v>
          </cell>
          <cell r="B134" t="str">
            <v>01370025T</v>
          </cell>
          <cell r="C134" t="str">
            <v>0137</v>
          </cell>
          <cell r="D134" t="str">
            <v>01370025</v>
          </cell>
          <cell r="E134" t="str">
            <v>Holyoke</v>
          </cell>
          <cell r="F134" t="str">
            <v>Morgan Elementary</v>
          </cell>
          <cell r="G134" t="str">
            <v>ESMS</v>
          </cell>
          <cell r="H134" t="str">
            <v>Holyoke - Morgan Elementary (01370025)</v>
          </cell>
          <cell r="I134" t="str">
            <v>All students</v>
          </cell>
          <cell r="J134" t="str">
            <v>01370025All students</v>
          </cell>
          <cell r="K134" t="str">
            <v>Level 4</v>
          </cell>
          <cell r="L134">
            <v>56.9</v>
          </cell>
          <cell r="M134">
            <v>60.5</v>
          </cell>
          <cell r="N134">
            <v>54.7</v>
          </cell>
          <cell r="O134">
            <v>64.099999999999994</v>
          </cell>
          <cell r="P134">
            <v>52.2</v>
          </cell>
          <cell r="Q134">
            <v>67.7</v>
          </cell>
          <cell r="R134">
            <v>71.3</v>
          </cell>
          <cell r="S134">
            <v>74.900000000000006</v>
          </cell>
          <cell r="T134">
            <v>78.5</v>
          </cell>
          <cell r="U134">
            <v>45.3</v>
          </cell>
          <cell r="V134">
            <v>49.9</v>
          </cell>
          <cell r="W134">
            <v>43.7</v>
          </cell>
          <cell r="X134">
            <v>54.4</v>
          </cell>
          <cell r="Y134">
            <v>44</v>
          </cell>
          <cell r="Z134">
            <v>59</v>
          </cell>
          <cell r="AA134">
            <v>63.5</v>
          </cell>
          <cell r="AB134">
            <v>68.099999999999994</v>
          </cell>
          <cell r="AC134">
            <v>72.7</v>
          </cell>
          <cell r="AD134">
            <v>38</v>
          </cell>
          <cell r="AE134">
            <v>43.2</v>
          </cell>
          <cell r="AF134">
            <v>35.1</v>
          </cell>
          <cell r="AG134">
            <v>48.3</v>
          </cell>
          <cell r="AH134">
            <v>36.9</v>
          </cell>
          <cell r="AI134">
            <v>53.5</v>
          </cell>
          <cell r="AJ134">
            <v>58.7</v>
          </cell>
          <cell r="AK134">
            <v>63.8</v>
          </cell>
          <cell r="AL134">
            <v>69</v>
          </cell>
          <cell r="AM134" t="str">
            <v>--</v>
          </cell>
          <cell r="AN134" t="str">
            <v>--</v>
          </cell>
          <cell r="AO134" t="str">
            <v>--</v>
          </cell>
          <cell r="AP134" t="str">
            <v>--</v>
          </cell>
          <cell r="AQ134" t="str">
            <v>--</v>
          </cell>
          <cell r="AR134" t="str">
            <v>--</v>
          </cell>
          <cell r="AS134" t="str">
            <v>--</v>
          </cell>
          <cell r="AT134" t="str">
            <v>--</v>
          </cell>
          <cell r="AU134" t="str">
            <v>--</v>
          </cell>
          <cell r="AV134" t="str">
            <v>--</v>
          </cell>
          <cell r="AW134" t="str">
            <v>--</v>
          </cell>
          <cell r="AX134" t="str">
            <v>--</v>
          </cell>
          <cell r="AY134" t="str">
            <v>--</v>
          </cell>
          <cell r="AZ134" t="str">
            <v>--</v>
          </cell>
          <cell r="BA134" t="str">
            <v>--</v>
          </cell>
          <cell r="BB134" t="str">
            <v>--</v>
          </cell>
          <cell r="BC134" t="str">
            <v>--</v>
          </cell>
          <cell r="BD134" t="str">
            <v>--</v>
          </cell>
          <cell r="BE134" t="str">
            <v>--</v>
          </cell>
          <cell r="BF134" t="str">
            <v>--</v>
          </cell>
          <cell r="BG134" t="str">
            <v>--</v>
          </cell>
          <cell r="BH134" t="str">
            <v>--</v>
          </cell>
          <cell r="BI134" t="str">
            <v>--</v>
          </cell>
          <cell r="BJ134" t="str">
            <v>--</v>
          </cell>
          <cell r="BK134" t="str">
            <v>--</v>
          </cell>
          <cell r="BL134" t="str">
            <v>--</v>
          </cell>
          <cell r="BM134" t="str">
            <v>--</v>
          </cell>
          <cell r="BN134">
            <v>53</v>
          </cell>
          <cell r="BO134">
            <v>51</v>
          </cell>
          <cell r="BP134">
            <v>58</v>
          </cell>
          <cell r="BQ134">
            <v>51</v>
          </cell>
          <cell r="BR134">
            <v>44</v>
          </cell>
          <cell r="BS134">
            <v>51</v>
          </cell>
          <cell r="BT134">
            <v>51</v>
          </cell>
          <cell r="BU134">
            <v>51</v>
          </cell>
          <cell r="BV134">
            <v>51</v>
          </cell>
          <cell r="BW134">
            <v>67.5</v>
          </cell>
          <cell r="BX134">
            <v>51</v>
          </cell>
          <cell r="BY134">
            <v>62</v>
          </cell>
          <cell r="BZ134">
            <v>51</v>
          </cell>
          <cell r="CA134">
            <v>49.5</v>
          </cell>
          <cell r="CB134">
            <v>51</v>
          </cell>
          <cell r="CC134">
            <v>51</v>
          </cell>
          <cell r="CD134">
            <v>51</v>
          </cell>
          <cell r="CE134">
            <v>51</v>
          </cell>
          <cell r="CF134">
            <v>30.4</v>
          </cell>
          <cell r="CG134">
            <v>27.4</v>
          </cell>
          <cell r="CH134">
            <v>38.6</v>
          </cell>
          <cell r="CI134">
            <v>34.700000000000003</v>
          </cell>
          <cell r="CJ134">
            <v>41.4</v>
          </cell>
          <cell r="CK134">
            <v>37.299999999999997</v>
          </cell>
          <cell r="CL134">
            <v>33.5</v>
          </cell>
          <cell r="CM134">
            <v>30.2</v>
          </cell>
          <cell r="CN134">
            <v>27.2</v>
          </cell>
          <cell r="CO134">
            <v>48</v>
          </cell>
          <cell r="CP134">
            <v>43.2</v>
          </cell>
          <cell r="CQ134">
            <v>55.3</v>
          </cell>
          <cell r="CR134">
            <v>49.8</v>
          </cell>
          <cell r="CS134">
            <v>56.9</v>
          </cell>
          <cell r="CT134">
            <v>51.2</v>
          </cell>
          <cell r="CU134">
            <v>46.1</v>
          </cell>
          <cell r="CV134">
            <v>41.5</v>
          </cell>
          <cell r="CW134">
            <v>37.299999999999997</v>
          </cell>
          <cell r="CX134">
            <v>57</v>
          </cell>
          <cell r="CY134">
            <v>51.3</v>
          </cell>
          <cell r="CZ134">
            <v>71.599999999999994</v>
          </cell>
          <cell r="DA134">
            <v>64.400000000000006</v>
          </cell>
          <cell r="DB134">
            <v>61.5</v>
          </cell>
          <cell r="DC134">
            <v>55.4</v>
          </cell>
          <cell r="DD134">
            <v>49.8</v>
          </cell>
          <cell r="DE134">
            <v>44.8</v>
          </cell>
          <cell r="DF134">
            <v>40.4</v>
          </cell>
          <cell r="DG134">
            <v>0</v>
          </cell>
          <cell r="DH134">
            <v>1</v>
          </cell>
          <cell r="DI134">
            <v>0</v>
          </cell>
          <cell r="DJ134">
            <v>1</v>
          </cell>
          <cell r="DK134">
            <v>0</v>
          </cell>
          <cell r="DL134">
            <v>1</v>
          </cell>
          <cell r="DM134">
            <v>1.1000000000000001</v>
          </cell>
          <cell r="DN134">
            <v>1.2</v>
          </cell>
          <cell r="DO134">
            <v>1.3</v>
          </cell>
          <cell r="DP134">
            <v>0.4</v>
          </cell>
          <cell r="DQ134">
            <v>0.4</v>
          </cell>
          <cell r="DR134">
            <v>1.8</v>
          </cell>
          <cell r="DS134">
            <v>2</v>
          </cell>
          <cell r="DT134">
            <v>1.3</v>
          </cell>
          <cell r="DU134">
            <v>1.4</v>
          </cell>
          <cell r="DV134">
            <v>1.6</v>
          </cell>
          <cell r="DW134">
            <v>1.7</v>
          </cell>
          <cell r="DX134">
            <v>1.9</v>
          </cell>
          <cell r="DY134">
            <v>0</v>
          </cell>
          <cell r="DZ134">
            <v>1</v>
          </cell>
          <cell r="EA134">
            <v>0</v>
          </cell>
          <cell r="EB134">
            <v>1</v>
          </cell>
          <cell r="EC134">
            <v>0</v>
          </cell>
          <cell r="ED134">
            <v>1</v>
          </cell>
          <cell r="EE134">
            <v>1.1000000000000001</v>
          </cell>
          <cell r="EF134">
            <v>1.2</v>
          </cell>
          <cell r="EG134">
            <v>1.3</v>
          </cell>
        </row>
        <row r="135">
          <cell r="A135" t="str">
            <v>01370605Asian</v>
          </cell>
          <cell r="B135" t="str">
            <v>01370605A</v>
          </cell>
          <cell r="C135" t="str">
            <v>0137</v>
          </cell>
          <cell r="D135" t="str">
            <v>01370605</v>
          </cell>
          <cell r="E135" t="str">
            <v>Holyoke</v>
          </cell>
          <cell r="F135" t="str">
            <v>Wm J Dean Vocational Technical High</v>
          </cell>
          <cell r="G135" t="str">
            <v>HS</v>
          </cell>
          <cell r="H135" t="str">
            <v>Holyoke - Wm J Dean Vocational Technical High (01370605)</v>
          </cell>
          <cell r="I135" t="str">
            <v>Asian</v>
          </cell>
          <cell r="J135" t="str">
            <v>01370605Asian</v>
          </cell>
          <cell r="K135" t="str">
            <v>--</v>
          </cell>
          <cell r="L135" t="str">
            <v>--</v>
          </cell>
          <cell r="M135" t="str">
            <v>--</v>
          </cell>
          <cell r="N135" t="str">
            <v>--</v>
          </cell>
          <cell r="O135" t="str">
            <v>--</v>
          </cell>
          <cell r="P135" t="str">
            <v>--</v>
          </cell>
          <cell r="Q135" t="str">
            <v>--</v>
          </cell>
          <cell r="R135" t="str">
            <v>--</v>
          </cell>
          <cell r="S135" t="str">
            <v>--</v>
          </cell>
          <cell r="T135" t="str">
            <v>--</v>
          </cell>
          <cell r="U135" t="str">
            <v>--</v>
          </cell>
          <cell r="V135" t="str">
            <v>--</v>
          </cell>
          <cell r="W135" t="str">
            <v>--</v>
          </cell>
          <cell r="X135" t="str">
            <v>--</v>
          </cell>
          <cell r="Y135" t="str">
            <v>--</v>
          </cell>
          <cell r="Z135" t="str">
            <v>--</v>
          </cell>
          <cell r="AA135" t="str">
            <v>--</v>
          </cell>
          <cell r="AB135" t="str">
            <v>--</v>
          </cell>
          <cell r="AC135" t="str">
            <v>--</v>
          </cell>
          <cell r="AD135" t="str">
            <v>--</v>
          </cell>
          <cell r="AE135" t="str">
            <v>--</v>
          </cell>
          <cell r="AF135" t="str">
            <v>--</v>
          </cell>
          <cell r="AG135" t="str">
            <v>--</v>
          </cell>
          <cell r="AH135" t="str">
            <v>--</v>
          </cell>
          <cell r="AI135" t="str">
            <v>--</v>
          </cell>
          <cell r="AJ135" t="str">
            <v>--</v>
          </cell>
          <cell r="AK135" t="str">
            <v>--</v>
          </cell>
          <cell r="AL135" t="str">
            <v>--</v>
          </cell>
          <cell r="AM135" t="str">
            <v>--</v>
          </cell>
          <cell r="AN135" t="str">
            <v>--</v>
          </cell>
          <cell r="AO135" t="str">
            <v>--</v>
          </cell>
          <cell r="AP135" t="str">
            <v>--</v>
          </cell>
          <cell r="AQ135" t="str">
            <v>--</v>
          </cell>
          <cell r="AR135" t="str">
            <v>--</v>
          </cell>
          <cell r="AS135" t="str">
            <v>--</v>
          </cell>
          <cell r="AT135" t="str">
            <v>--</v>
          </cell>
          <cell r="AU135" t="str">
            <v>--</v>
          </cell>
          <cell r="AV135" t="str">
            <v>--</v>
          </cell>
          <cell r="AW135" t="str">
            <v>--</v>
          </cell>
          <cell r="AX135" t="str">
            <v>--</v>
          </cell>
          <cell r="AY135" t="str">
            <v>--</v>
          </cell>
          <cell r="AZ135" t="str">
            <v>--</v>
          </cell>
          <cell r="BA135" t="str">
            <v>--</v>
          </cell>
          <cell r="BB135" t="str">
            <v>--</v>
          </cell>
          <cell r="BC135" t="str">
            <v>--</v>
          </cell>
          <cell r="BD135" t="str">
            <v>--</v>
          </cell>
          <cell r="BE135" t="str">
            <v>--</v>
          </cell>
          <cell r="BF135" t="str">
            <v>--</v>
          </cell>
          <cell r="BG135" t="str">
            <v>--</v>
          </cell>
          <cell r="BH135" t="str">
            <v>--</v>
          </cell>
          <cell r="BI135" t="str">
            <v>--</v>
          </cell>
          <cell r="BJ135" t="str">
            <v>--</v>
          </cell>
          <cell r="BK135" t="str">
            <v>--</v>
          </cell>
          <cell r="BL135" t="str">
            <v>--</v>
          </cell>
          <cell r="BM135" t="str">
            <v>--</v>
          </cell>
          <cell r="BN135" t="str">
            <v>--</v>
          </cell>
          <cell r="BO135" t="str">
            <v>--</v>
          </cell>
          <cell r="BP135" t="str">
            <v>--</v>
          </cell>
          <cell r="BQ135" t="str">
            <v>--</v>
          </cell>
          <cell r="BR135" t="str">
            <v>--</v>
          </cell>
          <cell r="BS135" t="str">
            <v>--</v>
          </cell>
          <cell r="BT135" t="str">
            <v>--</v>
          </cell>
          <cell r="BU135" t="str">
            <v>--</v>
          </cell>
          <cell r="BV135" t="str">
            <v>--</v>
          </cell>
          <cell r="BW135" t="str">
            <v>--</v>
          </cell>
          <cell r="BX135" t="str">
            <v>--</v>
          </cell>
          <cell r="BY135" t="str">
            <v>--</v>
          </cell>
          <cell r="BZ135" t="str">
            <v>--</v>
          </cell>
          <cell r="CA135" t="str">
            <v>--</v>
          </cell>
          <cell r="CB135" t="str">
            <v>--</v>
          </cell>
          <cell r="CC135" t="str">
            <v>--</v>
          </cell>
          <cell r="CD135" t="str">
            <v>--</v>
          </cell>
          <cell r="CE135" t="str">
            <v>--</v>
          </cell>
          <cell r="CF135" t="str">
            <v>--</v>
          </cell>
          <cell r="CG135" t="str">
            <v>--</v>
          </cell>
          <cell r="CH135" t="str">
            <v>--</v>
          </cell>
          <cell r="CI135" t="str">
            <v>--</v>
          </cell>
          <cell r="CJ135" t="str">
            <v>--</v>
          </cell>
          <cell r="CK135" t="str">
            <v>--</v>
          </cell>
          <cell r="CL135" t="str">
            <v>--</v>
          </cell>
          <cell r="CM135" t="str">
            <v>--</v>
          </cell>
          <cell r="CN135" t="str">
            <v>--</v>
          </cell>
          <cell r="CO135" t="str">
            <v>--</v>
          </cell>
          <cell r="CP135" t="str">
            <v>--</v>
          </cell>
          <cell r="CQ135" t="str">
            <v>--</v>
          </cell>
          <cell r="CR135" t="str">
            <v>--</v>
          </cell>
          <cell r="CS135" t="str">
            <v>--</v>
          </cell>
          <cell r="CT135" t="str">
            <v>--</v>
          </cell>
          <cell r="CU135" t="str">
            <v>--</v>
          </cell>
          <cell r="CV135" t="str">
            <v>--</v>
          </cell>
          <cell r="CW135" t="str">
            <v>--</v>
          </cell>
          <cell r="CX135" t="str">
            <v>--</v>
          </cell>
          <cell r="CY135" t="str">
            <v>--</v>
          </cell>
          <cell r="CZ135" t="str">
            <v>--</v>
          </cell>
          <cell r="DA135" t="str">
            <v>--</v>
          </cell>
          <cell r="DB135" t="str">
            <v>--</v>
          </cell>
          <cell r="DC135" t="str">
            <v>--</v>
          </cell>
          <cell r="DD135" t="str">
            <v>--</v>
          </cell>
          <cell r="DE135" t="str">
            <v>--</v>
          </cell>
          <cell r="DF135" t="str">
            <v>--</v>
          </cell>
          <cell r="DG135" t="str">
            <v>--</v>
          </cell>
          <cell r="DH135" t="str">
            <v>--</v>
          </cell>
          <cell r="DI135" t="str">
            <v>--</v>
          </cell>
          <cell r="DJ135" t="str">
            <v>--</v>
          </cell>
          <cell r="DK135" t="str">
            <v>--</v>
          </cell>
          <cell r="DL135" t="str">
            <v>--</v>
          </cell>
          <cell r="DM135" t="str">
            <v>--</v>
          </cell>
          <cell r="DN135" t="str">
            <v>--</v>
          </cell>
          <cell r="DO135" t="str">
            <v>--</v>
          </cell>
          <cell r="DP135" t="str">
            <v>--</v>
          </cell>
          <cell r="DQ135" t="str">
            <v>--</v>
          </cell>
          <cell r="DR135" t="str">
            <v>--</v>
          </cell>
          <cell r="DS135" t="str">
            <v>--</v>
          </cell>
          <cell r="DT135" t="str">
            <v>--</v>
          </cell>
          <cell r="DU135" t="str">
            <v>--</v>
          </cell>
          <cell r="DV135" t="str">
            <v>--</v>
          </cell>
          <cell r="DW135" t="str">
            <v>--</v>
          </cell>
          <cell r="DX135" t="str">
            <v>--</v>
          </cell>
          <cell r="DY135" t="str">
            <v>--</v>
          </cell>
          <cell r="DZ135" t="str">
            <v>--</v>
          </cell>
          <cell r="EA135" t="str">
            <v>--</v>
          </cell>
          <cell r="EB135" t="str">
            <v>--</v>
          </cell>
          <cell r="EC135" t="str">
            <v>--</v>
          </cell>
          <cell r="ED135" t="str">
            <v>--</v>
          </cell>
          <cell r="EE135" t="str">
            <v>--</v>
          </cell>
          <cell r="EF135" t="str">
            <v>--</v>
          </cell>
          <cell r="EG135" t="str">
            <v>--</v>
          </cell>
        </row>
        <row r="136">
          <cell r="A136" t="str">
            <v>01370605Afr. Amer/Black</v>
          </cell>
          <cell r="B136" t="str">
            <v>01370605B</v>
          </cell>
          <cell r="C136" t="str">
            <v>0137</v>
          </cell>
          <cell r="D136" t="str">
            <v>01370605</v>
          </cell>
          <cell r="E136" t="str">
            <v>Holyoke</v>
          </cell>
          <cell r="F136" t="str">
            <v>Wm J Dean Vocational Technical High</v>
          </cell>
          <cell r="G136" t="str">
            <v>HS</v>
          </cell>
          <cell r="H136" t="str">
            <v>Holyoke - Wm J Dean Vocational Technical High (01370605)</v>
          </cell>
          <cell r="I136" t="str">
            <v>Afr. Amer/Black</v>
          </cell>
          <cell r="J136" t="str">
            <v>01370605Afr. Amer/Black</v>
          </cell>
          <cell r="K136" t="str">
            <v>--</v>
          </cell>
          <cell r="L136" t="str">
            <v>--</v>
          </cell>
          <cell r="M136" t="str">
            <v>--</v>
          </cell>
          <cell r="N136" t="str">
            <v>--</v>
          </cell>
          <cell r="O136" t="str">
            <v>--</v>
          </cell>
          <cell r="P136" t="str">
            <v>--</v>
          </cell>
          <cell r="Q136" t="str">
            <v>--</v>
          </cell>
          <cell r="R136" t="str">
            <v>--</v>
          </cell>
          <cell r="S136" t="str">
            <v>--</v>
          </cell>
          <cell r="T136" t="str">
            <v>--</v>
          </cell>
          <cell r="U136" t="str">
            <v>--</v>
          </cell>
          <cell r="V136" t="str">
            <v>--</v>
          </cell>
          <cell r="W136" t="str">
            <v>--</v>
          </cell>
          <cell r="X136" t="str">
            <v>--</v>
          </cell>
          <cell r="Y136" t="str">
            <v>--</v>
          </cell>
          <cell r="Z136" t="str">
            <v>--</v>
          </cell>
          <cell r="AA136" t="str">
            <v>--</v>
          </cell>
          <cell r="AB136" t="str">
            <v>--</v>
          </cell>
          <cell r="AC136" t="str">
            <v>--</v>
          </cell>
          <cell r="AD136" t="str">
            <v>--</v>
          </cell>
          <cell r="AE136" t="str">
            <v>--</v>
          </cell>
          <cell r="AF136" t="str">
            <v>--</v>
          </cell>
          <cell r="AG136" t="str">
            <v>--</v>
          </cell>
          <cell r="AH136" t="str">
            <v>--</v>
          </cell>
          <cell r="AI136" t="str">
            <v>--</v>
          </cell>
          <cell r="AJ136" t="str">
            <v>--</v>
          </cell>
          <cell r="AK136" t="str">
            <v>--</v>
          </cell>
          <cell r="AL136" t="str">
            <v>--</v>
          </cell>
          <cell r="AM136" t="str">
            <v>--</v>
          </cell>
          <cell r="AN136" t="str">
            <v>--</v>
          </cell>
          <cell r="AO136" t="str">
            <v>--</v>
          </cell>
          <cell r="AP136" t="str">
            <v>--</v>
          </cell>
          <cell r="AQ136" t="str">
            <v>--</v>
          </cell>
          <cell r="AR136" t="str">
            <v>--</v>
          </cell>
          <cell r="AS136" t="str">
            <v>--</v>
          </cell>
          <cell r="AT136" t="str">
            <v>--</v>
          </cell>
          <cell r="AU136" t="str">
            <v>--</v>
          </cell>
          <cell r="AV136" t="str">
            <v>--</v>
          </cell>
          <cell r="AW136" t="str">
            <v>--</v>
          </cell>
          <cell r="AX136" t="str">
            <v>--</v>
          </cell>
          <cell r="AY136" t="str">
            <v>--</v>
          </cell>
          <cell r="AZ136" t="str">
            <v>--</v>
          </cell>
          <cell r="BA136" t="str">
            <v>--</v>
          </cell>
          <cell r="BB136" t="str">
            <v>--</v>
          </cell>
          <cell r="BC136" t="str">
            <v>--</v>
          </cell>
          <cell r="BD136" t="str">
            <v>--</v>
          </cell>
          <cell r="BE136" t="str">
            <v>--</v>
          </cell>
          <cell r="BF136" t="str">
            <v>--</v>
          </cell>
          <cell r="BG136" t="str">
            <v>--</v>
          </cell>
          <cell r="BH136" t="str">
            <v>--</v>
          </cell>
          <cell r="BI136" t="str">
            <v>--</v>
          </cell>
          <cell r="BJ136" t="str">
            <v>--</v>
          </cell>
          <cell r="BK136" t="str">
            <v>--</v>
          </cell>
          <cell r="BL136" t="str">
            <v>--</v>
          </cell>
          <cell r="BM136" t="str">
            <v>--</v>
          </cell>
          <cell r="BN136" t="str">
            <v>--</v>
          </cell>
          <cell r="BO136" t="str">
            <v>--</v>
          </cell>
          <cell r="BP136" t="str">
            <v>--</v>
          </cell>
          <cell r="BQ136" t="str">
            <v>--</v>
          </cell>
          <cell r="BR136" t="str">
            <v>--</v>
          </cell>
          <cell r="BS136" t="str">
            <v>--</v>
          </cell>
          <cell r="BT136" t="str">
            <v>--</v>
          </cell>
          <cell r="BU136" t="str">
            <v>--</v>
          </cell>
          <cell r="BV136" t="str">
            <v>--</v>
          </cell>
          <cell r="BW136" t="str">
            <v>--</v>
          </cell>
          <cell r="BX136" t="str">
            <v>--</v>
          </cell>
          <cell r="BY136" t="str">
            <v>--</v>
          </cell>
          <cell r="BZ136" t="str">
            <v>--</v>
          </cell>
          <cell r="CA136" t="str">
            <v>--</v>
          </cell>
          <cell r="CB136" t="str">
            <v>--</v>
          </cell>
          <cell r="CC136" t="str">
            <v>--</v>
          </cell>
          <cell r="CD136" t="str">
            <v>--</v>
          </cell>
          <cell r="CE136" t="str">
            <v>--</v>
          </cell>
          <cell r="CF136" t="str">
            <v>--</v>
          </cell>
          <cell r="CG136" t="str">
            <v>--</v>
          </cell>
          <cell r="CH136" t="str">
            <v>--</v>
          </cell>
          <cell r="CI136" t="str">
            <v>--</v>
          </cell>
          <cell r="CJ136" t="str">
            <v>--</v>
          </cell>
          <cell r="CK136" t="str">
            <v>--</v>
          </cell>
          <cell r="CL136" t="str">
            <v>--</v>
          </cell>
          <cell r="CM136" t="str">
            <v>--</v>
          </cell>
          <cell r="CN136" t="str">
            <v>--</v>
          </cell>
          <cell r="CO136" t="str">
            <v>--</v>
          </cell>
          <cell r="CP136" t="str">
            <v>--</v>
          </cell>
          <cell r="CQ136" t="str">
            <v>--</v>
          </cell>
          <cell r="CR136" t="str">
            <v>--</v>
          </cell>
          <cell r="CS136" t="str">
            <v>--</v>
          </cell>
          <cell r="CT136" t="str">
            <v>--</v>
          </cell>
          <cell r="CU136" t="str">
            <v>--</v>
          </cell>
          <cell r="CV136" t="str">
            <v>--</v>
          </cell>
          <cell r="CW136" t="str">
            <v>--</v>
          </cell>
          <cell r="CX136" t="str">
            <v>--</v>
          </cell>
          <cell r="CY136" t="str">
            <v>--</v>
          </cell>
          <cell r="CZ136" t="str">
            <v>--</v>
          </cell>
          <cell r="DA136" t="str">
            <v>--</v>
          </cell>
          <cell r="DB136" t="str">
            <v>--</v>
          </cell>
          <cell r="DC136" t="str">
            <v>--</v>
          </cell>
          <cell r="DD136" t="str">
            <v>--</v>
          </cell>
          <cell r="DE136" t="str">
            <v>--</v>
          </cell>
          <cell r="DF136" t="str">
            <v>--</v>
          </cell>
          <cell r="DG136" t="str">
            <v>--</v>
          </cell>
          <cell r="DH136" t="str">
            <v>--</v>
          </cell>
          <cell r="DI136" t="str">
            <v>--</v>
          </cell>
          <cell r="DJ136" t="str">
            <v>--</v>
          </cell>
          <cell r="DK136" t="str">
            <v>--</v>
          </cell>
          <cell r="DL136" t="str">
            <v>--</v>
          </cell>
          <cell r="DM136" t="str">
            <v>--</v>
          </cell>
          <cell r="DN136" t="str">
            <v>--</v>
          </cell>
          <cell r="DO136" t="str">
            <v>--</v>
          </cell>
          <cell r="DP136" t="str">
            <v>--</v>
          </cell>
          <cell r="DQ136" t="str">
            <v>--</v>
          </cell>
          <cell r="DR136" t="str">
            <v>--</v>
          </cell>
          <cell r="DS136" t="str">
            <v>--</v>
          </cell>
          <cell r="DT136" t="str">
            <v>--</v>
          </cell>
          <cell r="DU136" t="str">
            <v>--</v>
          </cell>
          <cell r="DV136" t="str">
            <v>--</v>
          </cell>
          <cell r="DW136" t="str">
            <v>--</v>
          </cell>
          <cell r="DX136" t="str">
            <v>--</v>
          </cell>
          <cell r="DY136" t="str">
            <v>--</v>
          </cell>
          <cell r="DZ136" t="str">
            <v>--</v>
          </cell>
          <cell r="EA136" t="str">
            <v>--</v>
          </cell>
          <cell r="EB136" t="str">
            <v>--</v>
          </cell>
          <cell r="EC136" t="str">
            <v>--</v>
          </cell>
          <cell r="ED136" t="str">
            <v>--</v>
          </cell>
          <cell r="EE136" t="str">
            <v>--</v>
          </cell>
          <cell r="EF136" t="str">
            <v>--</v>
          </cell>
          <cell r="EG136" t="str">
            <v>--</v>
          </cell>
        </row>
        <row r="137">
          <cell r="A137" t="str">
            <v>01370605White</v>
          </cell>
          <cell r="B137" t="str">
            <v>01370605C</v>
          </cell>
          <cell r="C137" t="str">
            <v>0137</v>
          </cell>
          <cell r="D137" t="str">
            <v>01370605</v>
          </cell>
          <cell r="E137" t="str">
            <v>Holyoke</v>
          </cell>
          <cell r="F137" t="str">
            <v>Wm J Dean Vocational Technical High</v>
          </cell>
          <cell r="G137" t="str">
            <v>HS</v>
          </cell>
          <cell r="H137" t="str">
            <v>Holyoke - Wm J Dean Vocational Technical High (01370605)</v>
          </cell>
          <cell r="I137" t="str">
            <v>White</v>
          </cell>
          <cell r="J137" t="str">
            <v>01370605White</v>
          </cell>
          <cell r="K137" t="str">
            <v>--</v>
          </cell>
          <cell r="L137" t="str">
            <v>--</v>
          </cell>
          <cell r="M137" t="str">
            <v>--</v>
          </cell>
          <cell r="N137" t="str">
            <v>--</v>
          </cell>
          <cell r="O137" t="str">
            <v>--</v>
          </cell>
          <cell r="P137" t="str">
            <v>--</v>
          </cell>
          <cell r="Q137" t="str">
            <v>--</v>
          </cell>
          <cell r="R137" t="str">
            <v>--</v>
          </cell>
          <cell r="S137" t="str">
            <v>--</v>
          </cell>
          <cell r="T137" t="str">
            <v>--</v>
          </cell>
          <cell r="U137" t="str">
            <v>--</v>
          </cell>
          <cell r="V137" t="str">
            <v>--</v>
          </cell>
          <cell r="W137" t="str">
            <v>--</v>
          </cell>
          <cell r="X137" t="str">
            <v>--</v>
          </cell>
          <cell r="Y137" t="str">
            <v>--</v>
          </cell>
          <cell r="Z137" t="str">
            <v>--</v>
          </cell>
          <cell r="AA137" t="str">
            <v>--</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t="str">
            <v>--</v>
          </cell>
          <cell r="AQ137" t="str">
            <v>--</v>
          </cell>
          <cell r="AR137" t="str">
            <v>--</v>
          </cell>
          <cell r="AS137" t="str">
            <v>--</v>
          </cell>
          <cell r="AT137" t="str">
            <v>--</v>
          </cell>
          <cell r="AU137" t="str">
            <v>--</v>
          </cell>
          <cell r="AV137" t="str">
            <v>--</v>
          </cell>
          <cell r="AW137" t="str">
            <v>--</v>
          </cell>
          <cell r="AX137" t="str">
            <v>--</v>
          </cell>
          <cell r="AY137" t="str">
            <v>--</v>
          </cell>
          <cell r="AZ137" t="str">
            <v>--</v>
          </cell>
          <cell r="BA137" t="str">
            <v>--</v>
          </cell>
          <cell r="BB137" t="str">
            <v>--</v>
          </cell>
          <cell r="BC137" t="str">
            <v>--</v>
          </cell>
          <cell r="BD137" t="str">
            <v>--</v>
          </cell>
          <cell r="BE137">
            <v>13</v>
          </cell>
          <cell r="BF137">
            <v>11.9</v>
          </cell>
          <cell r="BG137">
            <v>12.7</v>
          </cell>
          <cell r="BH137">
            <v>10.8</v>
          </cell>
          <cell r="BI137">
            <v>11.4</v>
          </cell>
          <cell r="BJ137">
            <v>9.8000000000000007</v>
          </cell>
          <cell r="BK137">
            <v>8.6999999999999993</v>
          </cell>
          <cell r="BL137">
            <v>7.6</v>
          </cell>
          <cell r="BM137">
            <v>6.5</v>
          </cell>
          <cell r="BN137" t="str">
            <v>--</v>
          </cell>
          <cell r="BO137" t="str">
            <v>--</v>
          </cell>
          <cell r="BP137" t="str">
            <v>--</v>
          </cell>
          <cell r="BQ137" t="str">
            <v>--</v>
          </cell>
          <cell r="BR137" t="str">
            <v>--</v>
          </cell>
          <cell r="BS137" t="str">
            <v>--</v>
          </cell>
          <cell r="BT137" t="str">
            <v>--</v>
          </cell>
          <cell r="BU137" t="str">
            <v>--</v>
          </cell>
          <cell r="BV137" t="str">
            <v>--</v>
          </cell>
          <cell r="BW137" t="str">
            <v>--</v>
          </cell>
          <cell r="BX137" t="str">
            <v>--</v>
          </cell>
          <cell r="BY137" t="str">
            <v>--</v>
          </cell>
          <cell r="BZ137" t="str">
            <v>--</v>
          </cell>
          <cell r="CA137" t="str">
            <v>--</v>
          </cell>
          <cell r="CB137" t="str">
            <v>--</v>
          </cell>
          <cell r="CC137" t="str">
            <v>--</v>
          </cell>
          <cell r="CD137" t="str">
            <v>--</v>
          </cell>
          <cell r="CE137" t="str">
            <v>--</v>
          </cell>
          <cell r="CF137" t="str">
            <v>--</v>
          </cell>
          <cell r="CG137" t="str">
            <v>--</v>
          </cell>
          <cell r="CH137" t="str">
            <v>--</v>
          </cell>
          <cell r="CI137" t="str">
            <v>--</v>
          </cell>
          <cell r="CJ137" t="str">
            <v>--</v>
          </cell>
          <cell r="CK137" t="str">
            <v>--</v>
          </cell>
          <cell r="CL137" t="str">
            <v>--</v>
          </cell>
          <cell r="CM137" t="str">
            <v>--</v>
          </cell>
          <cell r="CN137" t="str">
            <v>--</v>
          </cell>
          <cell r="CO137" t="str">
            <v>--</v>
          </cell>
          <cell r="CP137" t="str">
            <v>--</v>
          </cell>
          <cell r="CQ137" t="str">
            <v>--</v>
          </cell>
          <cell r="CR137" t="str">
            <v>--</v>
          </cell>
          <cell r="CS137" t="str">
            <v>--</v>
          </cell>
          <cell r="CT137" t="str">
            <v>--</v>
          </cell>
          <cell r="CU137" t="str">
            <v>--</v>
          </cell>
          <cell r="CV137" t="str">
            <v>--</v>
          </cell>
          <cell r="CW137" t="str">
            <v>--</v>
          </cell>
          <cell r="CX137" t="str">
            <v>--</v>
          </cell>
          <cell r="CY137" t="str">
            <v>--</v>
          </cell>
          <cell r="CZ137" t="str">
            <v>--</v>
          </cell>
          <cell r="DA137" t="str">
            <v>--</v>
          </cell>
          <cell r="DB137" t="str">
            <v>--</v>
          </cell>
          <cell r="DC137" t="str">
            <v>--</v>
          </cell>
          <cell r="DD137" t="str">
            <v>--</v>
          </cell>
          <cell r="DE137" t="str">
            <v>--</v>
          </cell>
          <cell r="DF137" t="str">
            <v>--</v>
          </cell>
          <cell r="DG137" t="str">
            <v>--</v>
          </cell>
          <cell r="DH137" t="str">
            <v>--</v>
          </cell>
          <cell r="DI137" t="str">
            <v>--</v>
          </cell>
          <cell r="DJ137" t="str">
            <v>--</v>
          </cell>
          <cell r="DK137" t="str">
            <v>--</v>
          </cell>
          <cell r="DL137" t="str">
            <v>--</v>
          </cell>
          <cell r="DM137" t="str">
            <v>--</v>
          </cell>
          <cell r="DN137" t="str">
            <v>--</v>
          </cell>
          <cell r="DO137" t="str">
            <v>--</v>
          </cell>
          <cell r="DP137" t="str">
            <v>--</v>
          </cell>
          <cell r="DQ137" t="str">
            <v>--</v>
          </cell>
          <cell r="DR137" t="str">
            <v>--</v>
          </cell>
          <cell r="DS137" t="str">
            <v>--</v>
          </cell>
          <cell r="DT137" t="str">
            <v>--</v>
          </cell>
          <cell r="DU137" t="str">
            <v>--</v>
          </cell>
          <cell r="DV137" t="str">
            <v>--</v>
          </cell>
          <cell r="DW137" t="str">
            <v>--</v>
          </cell>
          <cell r="DX137" t="str">
            <v>--</v>
          </cell>
          <cell r="DY137" t="str">
            <v>--</v>
          </cell>
          <cell r="DZ137" t="str">
            <v>--</v>
          </cell>
          <cell r="EA137" t="str">
            <v>--</v>
          </cell>
          <cell r="EB137" t="str">
            <v>--</v>
          </cell>
          <cell r="EC137" t="str">
            <v>--</v>
          </cell>
          <cell r="ED137" t="str">
            <v>--</v>
          </cell>
          <cell r="EE137" t="str">
            <v>--</v>
          </cell>
          <cell r="EF137" t="str">
            <v>--</v>
          </cell>
          <cell r="EG137" t="str">
            <v>--</v>
          </cell>
        </row>
        <row r="138">
          <cell r="A138" t="str">
            <v>01370605Students w/disabilities</v>
          </cell>
          <cell r="B138" t="str">
            <v>01370605D</v>
          </cell>
          <cell r="C138" t="str">
            <v>0137</v>
          </cell>
          <cell r="D138" t="str">
            <v>01370605</v>
          </cell>
          <cell r="E138" t="str">
            <v>Holyoke</v>
          </cell>
          <cell r="F138" t="str">
            <v>Wm J Dean Vocational Technical High</v>
          </cell>
          <cell r="G138" t="str">
            <v>HS</v>
          </cell>
          <cell r="H138" t="str">
            <v>Holyoke - Wm J Dean Vocational Technical High (01370605)</v>
          </cell>
          <cell r="I138" t="str">
            <v>Students w/disabilities</v>
          </cell>
          <cell r="J138" t="str">
            <v>01370605Students w/disabilities</v>
          </cell>
          <cell r="K138" t="str">
            <v>--</v>
          </cell>
          <cell r="L138">
            <v>56.7</v>
          </cell>
          <cell r="M138">
            <v>60.3</v>
          </cell>
          <cell r="N138">
            <v>66.7</v>
          </cell>
          <cell r="O138">
            <v>63.9</v>
          </cell>
          <cell r="P138">
            <v>81</v>
          </cell>
          <cell r="Q138">
            <v>67.5</v>
          </cell>
          <cell r="R138">
            <v>71.099999999999994</v>
          </cell>
          <cell r="S138">
            <v>74.7</v>
          </cell>
          <cell r="T138">
            <v>78.400000000000006</v>
          </cell>
          <cell r="U138">
            <v>45.5</v>
          </cell>
          <cell r="V138">
            <v>50</v>
          </cell>
          <cell r="W138">
            <v>54.2</v>
          </cell>
          <cell r="X138">
            <v>54.6</v>
          </cell>
          <cell r="Y138">
            <v>57.3</v>
          </cell>
          <cell r="Z138">
            <v>59.1</v>
          </cell>
          <cell r="AA138">
            <v>63.7</v>
          </cell>
          <cell r="AB138">
            <v>68.2</v>
          </cell>
          <cell r="AC138">
            <v>72.8</v>
          </cell>
          <cell r="AD138">
            <v>43.5</v>
          </cell>
          <cell r="AE138">
            <v>48.2</v>
          </cell>
          <cell r="AF138">
            <v>52.8</v>
          </cell>
          <cell r="AG138">
            <v>52.9</v>
          </cell>
          <cell r="AH138">
            <v>58.6</v>
          </cell>
          <cell r="AI138">
            <v>57.6</v>
          </cell>
          <cell r="AJ138">
            <v>62.3</v>
          </cell>
          <cell r="AK138">
            <v>67</v>
          </cell>
          <cell r="AL138">
            <v>71.8</v>
          </cell>
          <cell r="AM138">
            <v>11.9</v>
          </cell>
          <cell r="AN138">
            <v>14.4</v>
          </cell>
          <cell r="AO138">
            <v>5.7</v>
          </cell>
          <cell r="AP138">
            <v>8.1999999999999993</v>
          </cell>
          <cell r="AQ138">
            <v>15</v>
          </cell>
          <cell r="AR138">
            <v>17.5</v>
          </cell>
          <cell r="AS138">
            <v>20</v>
          </cell>
          <cell r="AT138">
            <v>22.5</v>
          </cell>
          <cell r="AU138">
            <v>25</v>
          </cell>
          <cell r="AV138">
            <v>19.2</v>
          </cell>
          <cell r="AW138">
            <v>21.7</v>
          </cell>
          <cell r="AX138">
            <v>20.3</v>
          </cell>
          <cell r="AY138">
            <v>22.8</v>
          </cell>
          <cell r="AZ138">
            <v>11.4</v>
          </cell>
          <cell r="BA138">
            <v>13.9</v>
          </cell>
          <cell r="BB138">
            <v>16.399999999999999</v>
          </cell>
          <cell r="BC138">
            <v>18.899999999999999</v>
          </cell>
          <cell r="BD138">
            <v>21.4</v>
          </cell>
          <cell r="BE138">
            <v>17.5</v>
          </cell>
          <cell r="BF138">
            <v>16</v>
          </cell>
          <cell r="BG138">
            <v>14.5</v>
          </cell>
          <cell r="BH138">
            <v>14.6</v>
          </cell>
          <cell r="BI138">
            <v>11</v>
          </cell>
          <cell r="BJ138">
            <v>13.1</v>
          </cell>
          <cell r="BK138">
            <v>11.7</v>
          </cell>
          <cell r="BL138">
            <v>10.199999999999999</v>
          </cell>
          <cell r="BM138">
            <v>8.8000000000000007</v>
          </cell>
          <cell r="BN138" t="str">
            <v>--</v>
          </cell>
          <cell r="BO138" t="str">
            <v>--</v>
          </cell>
          <cell r="BP138" t="str">
            <v>--</v>
          </cell>
          <cell r="BQ138" t="str">
            <v>--</v>
          </cell>
          <cell r="BR138" t="str">
            <v>--</v>
          </cell>
          <cell r="BS138" t="str">
            <v>--</v>
          </cell>
          <cell r="BT138" t="str">
            <v>--</v>
          </cell>
          <cell r="BU138" t="str">
            <v>--</v>
          </cell>
          <cell r="BV138" t="str">
            <v>--</v>
          </cell>
          <cell r="BW138" t="str">
            <v>--</v>
          </cell>
          <cell r="BX138" t="str">
            <v>--</v>
          </cell>
          <cell r="BY138" t="str">
            <v>--</v>
          </cell>
          <cell r="BZ138" t="str">
            <v>--</v>
          </cell>
          <cell r="CA138" t="str">
            <v>--</v>
          </cell>
          <cell r="CB138" t="str">
            <v>--</v>
          </cell>
          <cell r="CC138" t="str">
            <v>--</v>
          </cell>
          <cell r="CD138" t="str">
            <v>--</v>
          </cell>
          <cell r="CE138" t="str">
            <v>--</v>
          </cell>
          <cell r="CF138">
            <v>34.1</v>
          </cell>
          <cell r="CG138">
            <v>30.7</v>
          </cell>
          <cell r="CH138">
            <v>16.7</v>
          </cell>
          <cell r="CI138">
            <v>15</v>
          </cell>
          <cell r="CJ138">
            <v>4.8</v>
          </cell>
          <cell r="CK138">
            <v>4.3</v>
          </cell>
          <cell r="CL138">
            <v>3.9</v>
          </cell>
          <cell r="CM138">
            <v>3.5</v>
          </cell>
          <cell r="CN138">
            <v>3.1</v>
          </cell>
          <cell r="CO138">
            <v>51.3</v>
          </cell>
          <cell r="CP138">
            <v>46.2</v>
          </cell>
          <cell r="CQ138">
            <v>37.700000000000003</v>
          </cell>
          <cell r="CR138">
            <v>33.9</v>
          </cell>
          <cell r="CS138">
            <v>43.9</v>
          </cell>
          <cell r="CT138">
            <v>39.5</v>
          </cell>
          <cell r="CU138">
            <v>35.6</v>
          </cell>
          <cell r="CV138">
            <v>32</v>
          </cell>
          <cell r="CW138">
            <v>28.8</v>
          </cell>
          <cell r="CX138">
            <v>52.2</v>
          </cell>
          <cell r="CY138">
            <v>47</v>
          </cell>
          <cell r="CZ138">
            <v>34</v>
          </cell>
          <cell r="DA138">
            <v>30.6</v>
          </cell>
          <cell r="DB138">
            <v>34.200000000000003</v>
          </cell>
          <cell r="DC138">
            <v>30.8</v>
          </cell>
          <cell r="DD138">
            <v>27.7</v>
          </cell>
          <cell r="DE138">
            <v>24.9</v>
          </cell>
          <cell r="DF138">
            <v>22.4</v>
          </cell>
          <cell r="DG138">
            <v>0</v>
          </cell>
          <cell r="DH138">
            <v>1</v>
          </cell>
          <cell r="DI138">
            <v>0</v>
          </cell>
          <cell r="DJ138">
            <v>1</v>
          </cell>
          <cell r="DK138">
            <v>0</v>
          </cell>
          <cell r="DL138">
            <v>1</v>
          </cell>
          <cell r="DM138">
            <v>1.1000000000000001</v>
          </cell>
          <cell r="DN138">
            <v>1.2</v>
          </cell>
          <cell r="DO138">
            <v>1.3</v>
          </cell>
          <cell r="DP138">
            <v>0</v>
          </cell>
          <cell r="DQ138">
            <v>1</v>
          </cell>
          <cell r="DR138">
            <v>0</v>
          </cell>
          <cell r="DS138">
            <v>1</v>
          </cell>
          <cell r="DT138">
            <v>0</v>
          </cell>
          <cell r="DU138">
            <v>1</v>
          </cell>
          <cell r="DV138">
            <v>1.1000000000000001</v>
          </cell>
          <cell r="DW138">
            <v>1.2</v>
          </cell>
          <cell r="DX138">
            <v>1.3</v>
          </cell>
          <cell r="DY138">
            <v>0</v>
          </cell>
          <cell r="DZ138">
            <v>1</v>
          </cell>
          <cell r="EA138">
            <v>0</v>
          </cell>
          <cell r="EB138">
            <v>1</v>
          </cell>
          <cell r="EC138">
            <v>0</v>
          </cell>
          <cell r="ED138">
            <v>1</v>
          </cell>
          <cell r="EE138">
            <v>1.1000000000000001</v>
          </cell>
          <cell r="EF138">
            <v>1.2</v>
          </cell>
          <cell r="EG138">
            <v>1.3</v>
          </cell>
        </row>
        <row r="139">
          <cell r="A139" t="str">
            <v>01370605Low income</v>
          </cell>
          <cell r="B139" t="str">
            <v>01370605F</v>
          </cell>
          <cell r="C139" t="str">
            <v>0137</v>
          </cell>
          <cell r="D139" t="str">
            <v>01370605</v>
          </cell>
          <cell r="E139" t="str">
            <v>Holyoke</v>
          </cell>
          <cell r="F139" t="str">
            <v>Wm J Dean Vocational Technical High</v>
          </cell>
          <cell r="G139" t="str">
            <v>HS</v>
          </cell>
          <cell r="H139" t="str">
            <v>Holyoke - Wm J Dean Vocational Technical High (01370605)</v>
          </cell>
          <cell r="I139" t="str">
            <v>Low income</v>
          </cell>
          <cell r="J139" t="str">
            <v>01370605Low income</v>
          </cell>
          <cell r="K139" t="str">
            <v>--</v>
          </cell>
          <cell r="L139">
            <v>72</v>
          </cell>
          <cell r="M139">
            <v>74.3</v>
          </cell>
          <cell r="N139">
            <v>76.2</v>
          </cell>
          <cell r="O139">
            <v>76.7</v>
          </cell>
          <cell r="P139">
            <v>86.3</v>
          </cell>
          <cell r="Q139">
            <v>80.3</v>
          </cell>
          <cell r="R139">
            <v>82.6</v>
          </cell>
          <cell r="S139">
            <v>85</v>
          </cell>
          <cell r="T139">
            <v>87.3</v>
          </cell>
          <cell r="U139">
            <v>61.6</v>
          </cell>
          <cell r="V139">
            <v>64.8</v>
          </cell>
          <cell r="W139">
            <v>64</v>
          </cell>
          <cell r="X139">
            <v>68</v>
          </cell>
          <cell r="Y139">
            <v>58.2</v>
          </cell>
          <cell r="Z139">
            <v>72.5</v>
          </cell>
          <cell r="AA139">
            <v>75.7</v>
          </cell>
          <cell r="AB139">
            <v>78.900000000000006</v>
          </cell>
          <cell r="AC139">
            <v>82.1</v>
          </cell>
          <cell r="AD139">
            <v>51.1</v>
          </cell>
          <cell r="AE139">
            <v>55.2</v>
          </cell>
          <cell r="AF139">
            <v>51</v>
          </cell>
          <cell r="AG139">
            <v>59.3</v>
          </cell>
          <cell r="AH139">
            <v>55.9</v>
          </cell>
          <cell r="AI139">
            <v>64.599999999999994</v>
          </cell>
          <cell r="AJ139">
            <v>68.7</v>
          </cell>
          <cell r="AK139">
            <v>72.8</v>
          </cell>
          <cell r="AL139">
            <v>76.900000000000006</v>
          </cell>
          <cell r="AM139">
            <v>35</v>
          </cell>
          <cell r="AN139">
            <v>37.5</v>
          </cell>
          <cell r="AO139">
            <v>24.6</v>
          </cell>
          <cell r="AP139">
            <v>27.1</v>
          </cell>
          <cell r="AQ139">
            <v>27.8</v>
          </cell>
          <cell r="AR139">
            <v>30.3</v>
          </cell>
          <cell r="AS139">
            <v>32.799999999999997</v>
          </cell>
          <cell r="AT139">
            <v>35.299999999999997</v>
          </cell>
          <cell r="AU139">
            <v>37.799999999999997</v>
          </cell>
          <cell r="AV139">
            <v>42.7</v>
          </cell>
          <cell r="AW139">
            <v>45.2</v>
          </cell>
          <cell r="AX139">
            <v>40.6</v>
          </cell>
          <cell r="AY139">
            <v>43.1</v>
          </cell>
          <cell r="AZ139">
            <v>29.3</v>
          </cell>
          <cell r="BA139">
            <v>31.8</v>
          </cell>
          <cell r="BB139">
            <v>34.299999999999997</v>
          </cell>
          <cell r="BC139">
            <v>36.799999999999997</v>
          </cell>
          <cell r="BD139">
            <v>39.299999999999997</v>
          </cell>
          <cell r="BE139">
            <v>12.4</v>
          </cell>
          <cell r="BF139">
            <v>11.4</v>
          </cell>
          <cell r="BG139">
            <v>13.7</v>
          </cell>
          <cell r="BH139">
            <v>10.3</v>
          </cell>
          <cell r="BI139">
            <v>4.9000000000000004</v>
          </cell>
          <cell r="BJ139">
            <v>6.3</v>
          </cell>
          <cell r="BK139">
            <v>5.3</v>
          </cell>
          <cell r="BL139">
            <v>4.2</v>
          </cell>
          <cell r="BM139">
            <v>3.2</v>
          </cell>
          <cell r="BN139">
            <v>38</v>
          </cell>
          <cell r="BO139">
            <v>48</v>
          </cell>
          <cell r="BP139">
            <v>36</v>
          </cell>
          <cell r="BQ139">
            <v>46</v>
          </cell>
          <cell r="BR139">
            <v>52.5</v>
          </cell>
          <cell r="BS139">
            <v>60</v>
          </cell>
          <cell r="BT139">
            <v>60</v>
          </cell>
          <cell r="BU139">
            <v>60</v>
          </cell>
          <cell r="BV139">
            <v>60</v>
          </cell>
          <cell r="BW139">
            <v>48</v>
          </cell>
          <cell r="BX139">
            <v>51</v>
          </cell>
          <cell r="BY139">
            <v>46</v>
          </cell>
          <cell r="BZ139">
            <v>51</v>
          </cell>
          <cell r="CA139">
            <v>22</v>
          </cell>
          <cell r="CB139">
            <v>36.5</v>
          </cell>
          <cell r="CC139">
            <v>51</v>
          </cell>
          <cell r="CD139">
            <v>60</v>
          </cell>
          <cell r="CE139">
            <v>60</v>
          </cell>
          <cell r="CF139">
            <v>15.7</v>
          </cell>
          <cell r="CG139">
            <v>14.1</v>
          </cell>
          <cell r="CH139">
            <v>8.1</v>
          </cell>
          <cell r="CI139">
            <v>7.3</v>
          </cell>
          <cell r="CJ139">
            <v>4.0999999999999996</v>
          </cell>
          <cell r="CK139">
            <v>3.7</v>
          </cell>
          <cell r="CL139">
            <v>3.3</v>
          </cell>
          <cell r="CM139">
            <v>3</v>
          </cell>
          <cell r="CN139">
            <v>2.7</v>
          </cell>
          <cell r="CO139">
            <v>33.299999999999997</v>
          </cell>
          <cell r="CP139">
            <v>30</v>
          </cell>
          <cell r="CQ139">
            <v>28.1</v>
          </cell>
          <cell r="CR139">
            <v>25.3</v>
          </cell>
          <cell r="CS139">
            <v>35.200000000000003</v>
          </cell>
          <cell r="CT139">
            <v>31.7</v>
          </cell>
          <cell r="CU139">
            <v>28.5</v>
          </cell>
          <cell r="CV139">
            <v>25.7</v>
          </cell>
          <cell r="CW139">
            <v>23.1</v>
          </cell>
          <cell r="CX139">
            <v>35.9</v>
          </cell>
          <cell r="CY139">
            <v>32.299999999999997</v>
          </cell>
          <cell r="CZ139">
            <v>33.6</v>
          </cell>
          <cell r="DA139">
            <v>30.2</v>
          </cell>
          <cell r="DB139">
            <v>23.8</v>
          </cell>
          <cell r="DC139">
            <v>21.4</v>
          </cell>
          <cell r="DD139">
            <v>19.3</v>
          </cell>
          <cell r="DE139">
            <v>17.399999999999999</v>
          </cell>
          <cell r="DF139">
            <v>15.6</v>
          </cell>
          <cell r="DG139">
            <v>0.9</v>
          </cell>
          <cell r="DH139">
            <v>1</v>
          </cell>
          <cell r="DI139">
            <v>1.6</v>
          </cell>
          <cell r="DJ139">
            <v>1.8</v>
          </cell>
          <cell r="DK139">
            <v>2.1</v>
          </cell>
          <cell r="DL139">
            <v>2.2999999999999998</v>
          </cell>
          <cell r="DM139">
            <v>2.5</v>
          </cell>
          <cell r="DN139">
            <v>2.8</v>
          </cell>
          <cell r="DO139">
            <v>3.1</v>
          </cell>
          <cell r="DP139">
            <v>7.4</v>
          </cell>
          <cell r="DQ139">
            <v>8.1</v>
          </cell>
          <cell r="DR139">
            <v>9.1</v>
          </cell>
          <cell r="DS139">
            <v>10</v>
          </cell>
          <cell r="DT139">
            <v>3.3</v>
          </cell>
          <cell r="DU139">
            <v>3.6</v>
          </cell>
          <cell r="DV139">
            <v>4</v>
          </cell>
          <cell r="DW139">
            <v>4.4000000000000004</v>
          </cell>
          <cell r="DX139">
            <v>4.8</v>
          </cell>
          <cell r="DY139">
            <v>0</v>
          </cell>
          <cell r="DZ139">
            <v>1</v>
          </cell>
          <cell r="EA139">
            <v>0</v>
          </cell>
          <cell r="EB139">
            <v>1</v>
          </cell>
          <cell r="EC139">
            <v>0</v>
          </cell>
          <cell r="ED139">
            <v>1</v>
          </cell>
          <cell r="EE139">
            <v>1.1000000000000001</v>
          </cell>
          <cell r="EF139">
            <v>1.2</v>
          </cell>
          <cell r="EG139">
            <v>1.3</v>
          </cell>
        </row>
        <row r="140">
          <cell r="A140" t="str">
            <v>01370605Hispanic/Latino</v>
          </cell>
          <cell r="B140" t="str">
            <v>01370605H</v>
          </cell>
          <cell r="C140" t="str">
            <v>0137</v>
          </cell>
          <cell r="D140" t="str">
            <v>01370605</v>
          </cell>
          <cell r="E140" t="str">
            <v>Holyoke</v>
          </cell>
          <cell r="F140" t="str">
            <v>Wm J Dean Vocational Technical High</v>
          </cell>
          <cell r="G140" t="str">
            <v>HS</v>
          </cell>
          <cell r="H140" t="str">
            <v>Holyoke - Wm J Dean Vocational Technical High (01370605)</v>
          </cell>
          <cell r="I140" t="str">
            <v>Hispanic/Latino</v>
          </cell>
          <cell r="J140" t="str">
            <v>01370605Hispanic/Latino</v>
          </cell>
          <cell r="K140" t="str">
            <v>--</v>
          </cell>
          <cell r="L140">
            <v>71.2</v>
          </cell>
          <cell r="M140">
            <v>73.599999999999994</v>
          </cell>
          <cell r="N140">
            <v>74.8</v>
          </cell>
          <cell r="O140">
            <v>76</v>
          </cell>
          <cell r="P140">
            <v>86.2</v>
          </cell>
          <cell r="Q140">
            <v>79.7</v>
          </cell>
          <cell r="R140">
            <v>82.1</v>
          </cell>
          <cell r="S140">
            <v>84.5</v>
          </cell>
          <cell r="T140">
            <v>86.9</v>
          </cell>
          <cell r="U140">
            <v>61.8</v>
          </cell>
          <cell r="V140">
            <v>65</v>
          </cell>
          <cell r="W140">
            <v>62.6</v>
          </cell>
          <cell r="X140">
            <v>68.2</v>
          </cell>
          <cell r="Y140">
            <v>59</v>
          </cell>
          <cell r="Z140">
            <v>72.7</v>
          </cell>
          <cell r="AA140">
            <v>75.8</v>
          </cell>
          <cell r="AB140">
            <v>79</v>
          </cell>
          <cell r="AC140">
            <v>82.2</v>
          </cell>
          <cell r="AD140">
            <v>51.3</v>
          </cell>
          <cell r="AE140">
            <v>55.4</v>
          </cell>
          <cell r="AF140">
            <v>49.8</v>
          </cell>
          <cell r="AG140">
            <v>59.4</v>
          </cell>
          <cell r="AH140">
            <v>56.1</v>
          </cell>
          <cell r="AI140">
            <v>64.8</v>
          </cell>
          <cell r="AJ140">
            <v>68.8</v>
          </cell>
          <cell r="AK140">
            <v>72.900000000000006</v>
          </cell>
          <cell r="AL140">
            <v>77</v>
          </cell>
          <cell r="AM140">
            <v>34.799999999999997</v>
          </cell>
          <cell r="AN140">
            <v>37.299999999999997</v>
          </cell>
          <cell r="AO140">
            <v>21.9</v>
          </cell>
          <cell r="AP140">
            <v>24.4</v>
          </cell>
          <cell r="AQ140">
            <v>26.6</v>
          </cell>
          <cell r="AR140">
            <v>29.1</v>
          </cell>
          <cell r="AS140">
            <v>31.6</v>
          </cell>
          <cell r="AT140">
            <v>34.1</v>
          </cell>
          <cell r="AU140">
            <v>36.6</v>
          </cell>
          <cell r="AV140">
            <v>39.5</v>
          </cell>
          <cell r="AW140">
            <v>42</v>
          </cell>
          <cell r="AX140">
            <v>39.299999999999997</v>
          </cell>
          <cell r="AY140">
            <v>41.8</v>
          </cell>
          <cell r="AZ140">
            <v>26.9</v>
          </cell>
          <cell r="BA140">
            <v>29.4</v>
          </cell>
          <cell r="BB140">
            <v>31.9</v>
          </cell>
          <cell r="BC140">
            <v>34.4</v>
          </cell>
          <cell r="BD140">
            <v>36.9</v>
          </cell>
          <cell r="BE140">
            <v>14.2</v>
          </cell>
          <cell r="BF140">
            <v>13</v>
          </cell>
          <cell r="BG140">
            <v>15</v>
          </cell>
          <cell r="BH140">
            <v>11.8</v>
          </cell>
          <cell r="BI140">
            <v>10</v>
          </cell>
          <cell r="BJ140">
            <v>7.7</v>
          </cell>
          <cell r="BK140">
            <v>6.5</v>
          </cell>
          <cell r="BL140">
            <v>5.3</v>
          </cell>
          <cell r="BM140">
            <v>4.0999999999999996</v>
          </cell>
          <cell r="BN140">
            <v>35.5</v>
          </cell>
          <cell r="BO140">
            <v>45.5</v>
          </cell>
          <cell r="BP140">
            <v>35</v>
          </cell>
          <cell r="BQ140">
            <v>45</v>
          </cell>
          <cell r="BR140">
            <v>51</v>
          </cell>
          <cell r="BS140">
            <v>60</v>
          </cell>
          <cell r="BT140">
            <v>60</v>
          </cell>
          <cell r="BU140">
            <v>60</v>
          </cell>
          <cell r="BV140">
            <v>60</v>
          </cell>
          <cell r="BW140">
            <v>50</v>
          </cell>
          <cell r="BX140">
            <v>51</v>
          </cell>
          <cell r="BY140">
            <v>46</v>
          </cell>
          <cell r="BZ140">
            <v>51</v>
          </cell>
          <cell r="CA140">
            <v>22</v>
          </cell>
          <cell r="CB140">
            <v>36.5</v>
          </cell>
          <cell r="CC140">
            <v>51</v>
          </cell>
          <cell r="CD140">
            <v>60</v>
          </cell>
          <cell r="CE140">
            <v>60</v>
          </cell>
          <cell r="CF140">
            <v>17.100000000000001</v>
          </cell>
          <cell r="CG140">
            <v>15.4</v>
          </cell>
          <cell r="CH140">
            <v>8.8000000000000007</v>
          </cell>
          <cell r="CI140">
            <v>7.9</v>
          </cell>
          <cell r="CJ140">
            <v>4.0999999999999996</v>
          </cell>
          <cell r="CK140">
            <v>3.7</v>
          </cell>
          <cell r="CL140">
            <v>3.3</v>
          </cell>
          <cell r="CM140">
            <v>3</v>
          </cell>
          <cell r="CN140">
            <v>2.7</v>
          </cell>
          <cell r="CO140">
            <v>33.6</v>
          </cell>
          <cell r="CP140">
            <v>30.2</v>
          </cell>
          <cell r="CQ140">
            <v>30.6</v>
          </cell>
          <cell r="CR140">
            <v>27.5</v>
          </cell>
          <cell r="CS140">
            <v>35.9</v>
          </cell>
          <cell r="CT140">
            <v>32.299999999999997</v>
          </cell>
          <cell r="CU140">
            <v>29.1</v>
          </cell>
          <cell r="CV140">
            <v>26.2</v>
          </cell>
          <cell r="CW140">
            <v>23.6</v>
          </cell>
          <cell r="CX140">
            <v>36.1</v>
          </cell>
          <cell r="CY140">
            <v>32.5</v>
          </cell>
          <cell r="CZ140">
            <v>34.5</v>
          </cell>
          <cell r="DA140">
            <v>31.1</v>
          </cell>
          <cell r="DB140">
            <v>24.4</v>
          </cell>
          <cell r="DC140">
            <v>22</v>
          </cell>
          <cell r="DD140">
            <v>19.8</v>
          </cell>
          <cell r="DE140">
            <v>17.8</v>
          </cell>
          <cell r="DF140">
            <v>16</v>
          </cell>
          <cell r="DG140">
            <v>0.9</v>
          </cell>
          <cell r="DH140">
            <v>1</v>
          </cell>
          <cell r="DI140">
            <v>1.8</v>
          </cell>
          <cell r="DJ140">
            <v>2</v>
          </cell>
          <cell r="DK140">
            <v>3.1</v>
          </cell>
          <cell r="DL140">
            <v>3.4</v>
          </cell>
          <cell r="DM140">
            <v>3.8</v>
          </cell>
          <cell r="DN140">
            <v>4.0999999999999996</v>
          </cell>
          <cell r="DO140">
            <v>4.5</v>
          </cell>
          <cell r="DP140">
            <v>9.1</v>
          </cell>
          <cell r="DQ140">
            <v>10</v>
          </cell>
          <cell r="DR140">
            <v>9.9</v>
          </cell>
          <cell r="DS140">
            <v>10.9</v>
          </cell>
          <cell r="DT140">
            <v>4.3</v>
          </cell>
          <cell r="DU140">
            <v>4.7</v>
          </cell>
          <cell r="DV140">
            <v>5.2</v>
          </cell>
          <cell r="DW140">
            <v>5.7</v>
          </cell>
          <cell r="DX140">
            <v>6.3</v>
          </cell>
          <cell r="DY140">
            <v>0</v>
          </cell>
          <cell r="DZ140">
            <v>1</v>
          </cell>
          <cell r="EA140">
            <v>0</v>
          </cell>
          <cell r="EB140">
            <v>1</v>
          </cell>
          <cell r="EC140">
            <v>0</v>
          </cell>
          <cell r="ED140">
            <v>1</v>
          </cell>
          <cell r="EE140">
            <v>1.1000000000000001</v>
          </cell>
          <cell r="EF140">
            <v>1.2</v>
          </cell>
          <cell r="EG140">
            <v>1.3</v>
          </cell>
        </row>
        <row r="141">
          <cell r="A141" t="str">
            <v>01370605ELL and Former ELL</v>
          </cell>
          <cell r="B141" t="str">
            <v>01370605L</v>
          </cell>
          <cell r="C141" t="str">
            <v>0137</v>
          </cell>
          <cell r="D141" t="str">
            <v>01370605</v>
          </cell>
          <cell r="E141" t="str">
            <v>Holyoke</v>
          </cell>
          <cell r="F141" t="str">
            <v>Wm J Dean Vocational Technical High</v>
          </cell>
          <cell r="G141" t="str">
            <v>HS</v>
          </cell>
          <cell r="H141" t="str">
            <v>Holyoke - Wm J Dean Vocational Technical High (01370605)</v>
          </cell>
          <cell r="I141" t="str">
            <v>ELL and Former ELL</v>
          </cell>
          <cell r="J141" t="str">
            <v>01370605ELL and Former ELL</v>
          </cell>
          <cell r="K141" t="str">
            <v>--</v>
          </cell>
          <cell r="L141">
            <v>56.3</v>
          </cell>
          <cell r="M141">
            <v>59.9</v>
          </cell>
          <cell r="N141">
            <v>66.7</v>
          </cell>
          <cell r="O141">
            <v>63.6</v>
          </cell>
          <cell r="P141">
            <v>78.8</v>
          </cell>
          <cell r="Q141">
            <v>67.2</v>
          </cell>
          <cell r="R141">
            <v>70.900000000000006</v>
          </cell>
          <cell r="S141">
            <v>74.5</v>
          </cell>
          <cell r="T141">
            <v>78.2</v>
          </cell>
          <cell r="U141">
            <v>47.8</v>
          </cell>
          <cell r="V141">
            <v>52.2</v>
          </cell>
          <cell r="W141">
            <v>51</v>
          </cell>
          <cell r="X141">
            <v>56.5</v>
          </cell>
          <cell r="Y141">
            <v>51.9</v>
          </cell>
          <cell r="Z141">
            <v>60.9</v>
          </cell>
          <cell r="AA141">
            <v>65.2</v>
          </cell>
          <cell r="AB141">
            <v>69.599999999999994</v>
          </cell>
          <cell r="AC141">
            <v>73.900000000000006</v>
          </cell>
          <cell r="AD141">
            <v>41.4</v>
          </cell>
          <cell r="AE141">
            <v>46.3</v>
          </cell>
          <cell r="AF141">
            <v>43</v>
          </cell>
          <cell r="AG141">
            <v>51.2</v>
          </cell>
          <cell r="AH141">
            <v>54.5</v>
          </cell>
          <cell r="AI141">
            <v>56.1</v>
          </cell>
          <cell r="AJ141">
            <v>60.9</v>
          </cell>
          <cell r="AK141">
            <v>65.8</v>
          </cell>
          <cell r="AL141">
            <v>70.7</v>
          </cell>
          <cell r="AM141">
            <v>25.5</v>
          </cell>
          <cell r="AN141">
            <v>28</v>
          </cell>
          <cell r="AO141">
            <v>15.6</v>
          </cell>
          <cell r="AP141">
            <v>18.100000000000001</v>
          </cell>
          <cell r="AQ141">
            <v>11.1</v>
          </cell>
          <cell r="AR141">
            <v>13.6</v>
          </cell>
          <cell r="AS141">
            <v>16.100000000000001</v>
          </cell>
          <cell r="AT141">
            <v>18.600000000000001</v>
          </cell>
          <cell r="AU141">
            <v>21.1</v>
          </cell>
          <cell r="AV141">
            <v>24.1</v>
          </cell>
          <cell r="AW141">
            <v>26.6</v>
          </cell>
          <cell r="AX141">
            <v>27.3</v>
          </cell>
          <cell r="AY141">
            <v>29.8</v>
          </cell>
          <cell r="AZ141">
            <v>20.3</v>
          </cell>
          <cell r="BA141">
            <v>22.8</v>
          </cell>
          <cell r="BB141">
            <v>25.3</v>
          </cell>
          <cell r="BC141">
            <v>27.8</v>
          </cell>
          <cell r="BD141">
            <v>30.3</v>
          </cell>
          <cell r="BE141">
            <v>15.6</v>
          </cell>
          <cell r="BF141">
            <v>14.3</v>
          </cell>
          <cell r="BG141">
            <v>11.2</v>
          </cell>
          <cell r="BH141">
            <v>13</v>
          </cell>
          <cell r="BI141">
            <v>10.5</v>
          </cell>
          <cell r="BJ141">
            <v>11.7</v>
          </cell>
          <cell r="BK141">
            <v>10.4</v>
          </cell>
          <cell r="BL141">
            <v>9.1</v>
          </cell>
          <cell r="BM141">
            <v>7.8</v>
          </cell>
          <cell r="BN141" t="str">
            <v>--</v>
          </cell>
          <cell r="BO141" t="str">
            <v>--</v>
          </cell>
          <cell r="BP141" t="str">
            <v>--</v>
          </cell>
          <cell r="BQ141">
            <v>42.5</v>
          </cell>
          <cell r="BR141" t="str">
            <v>--</v>
          </cell>
          <cell r="BS141">
            <v>42.5</v>
          </cell>
          <cell r="BT141">
            <v>51</v>
          </cell>
          <cell r="BU141">
            <v>51</v>
          </cell>
          <cell r="BV141">
            <v>51</v>
          </cell>
          <cell r="BW141" t="str">
            <v>--</v>
          </cell>
          <cell r="BX141" t="str">
            <v>--</v>
          </cell>
          <cell r="BY141" t="str">
            <v>--</v>
          </cell>
          <cell r="BZ141" t="str">
            <v>--</v>
          </cell>
          <cell r="CA141" t="str">
            <v>--</v>
          </cell>
          <cell r="CB141" t="str">
            <v>--</v>
          </cell>
          <cell r="CC141" t="str">
            <v>--</v>
          </cell>
          <cell r="CD141" t="str">
            <v>--</v>
          </cell>
          <cell r="CE141" t="str">
            <v>--</v>
          </cell>
          <cell r="CF141">
            <v>27.8</v>
          </cell>
          <cell r="CG141">
            <v>25</v>
          </cell>
          <cell r="CH141">
            <v>11.8</v>
          </cell>
          <cell r="CI141">
            <v>10.6</v>
          </cell>
          <cell r="CJ141">
            <v>10</v>
          </cell>
          <cell r="CK141">
            <v>9</v>
          </cell>
          <cell r="CL141">
            <v>8.1</v>
          </cell>
          <cell r="CM141">
            <v>7.3</v>
          </cell>
          <cell r="CN141">
            <v>6.6</v>
          </cell>
          <cell r="CO141">
            <v>47.1</v>
          </cell>
          <cell r="CP141">
            <v>42.4</v>
          </cell>
          <cell r="CQ141">
            <v>44</v>
          </cell>
          <cell r="CR141">
            <v>39.6</v>
          </cell>
          <cell r="CS141">
            <v>53.8</v>
          </cell>
          <cell r="CT141">
            <v>48.4</v>
          </cell>
          <cell r="CU141">
            <v>43.6</v>
          </cell>
          <cell r="CV141">
            <v>39.200000000000003</v>
          </cell>
          <cell r="CW141">
            <v>35.299999999999997</v>
          </cell>
          <cell r="CX141">
            <v>55.3</v>
          </cell>
          <cell r="CY141">
            <v>49.8</v>
          </cell>
          <cell r="CZ141">
            <v>48</v>
          </cell>
          <cell r="DA141">
            <v>43.2</v>
          </cell>
          <cell r="DB141">
            <v>36.4</v>
          </cell>
          <cell r="DC141">
            <v>32.799999999999997</v>
          </cell>
          <cell r="DD141">
            <v>29.5</v>
          </cell>
          <cell r="DE141">
            <v>26.5</v>
          </cell>
          <cell r="DF141">
            <v>23.9</v>
          </cell>
          <cell r="DG141">
            <v>0</v>
          </cell>
          <cell r="DH141">
            <v>1</v>
          </cell>
          <cell r="DI141">
            <v>0</v>
          </cell>
          <cell r="DJ141">
            <v>1</v>
          </cell>
          <cell r="DK141">
            <v>0</v>
          </cell>
          <cell r="DL141">
            <v>1</v>
          </cell>
          <cell r="DM141">
            <v>1.1000000000000001</v>
          </cell>
          <cell r="DN141">
            <v>1.2</v>
          </cell>
          <cell r="DO141">
            <v>1.3</v>
          </cell>
          <cell r="DP141">
            <v>0</v>
          </cell>
          <cell r="DQ141">
            <v>1</v>
          </cell>
          <cell r="DR141">
            <v>4</v>
          </cell>
          <cell r="DS141">
            <v>4.4000000000000004</v>
          </cell>
          <cell r="DT141">
            <v>0</v>
          </cell>
          <cell r="DU141">
            <v>1</v>
          </cell>
          <cell r="DV141">
            <v>1.1000000000000001</v>
          </cell>
          <cell r="DW141">
            <v>1.2</v>
          </cell>
          <cell r="DX141">
            <v>1.3</v>
          </cell>
          <cell r="DY141">
            <v>0</v>
          </cell>
          <cell r="DZ141">
            <v>1</v>
          </cell>
          <cell r="EA141">
            <v>0</v>
          </cell>
          <cell r="EB141">
            <v>1</v>
          </cell>
          <cell r="EC141">
            <v>0</v>
          </cell>
          <cell r="ED141">
            <v>1</v>
          </cell>
          <cell r="EE141">
            <v>1.1000000000000001</v>
          </cell>
          <cell r="EF141">
            <v>1.2</v>
          </cell>
          <cell r="EG141">
            <v>1.3</v>
          </cell>
        </row>
        <row r="142">
          <cell r="A142" t="str">
            <v>01370605Multi-race, Non-Hisp./Lat.</v>
          </cell>
          <cell r="B142" t="str">
            <v>01370605M</v>
          </cell>
          <cell r="C142" t="str">
            <v>0137</v>
          </cell>
          <cell r="D142" t="str">
            <v>01370605</v>
          </cell>
          <cell r="E142" t="str">
            <v>Holyoke</v>
          </cell>
          <cell r="F142" t="str">
            <v>Wm J Dean Vocational Technical High</v>
          </cell>
          <cell r="G142" t="str">
            <v>HS</v>
          </cell>
          <cell r="H142" t="str">
            <v>Holyoke - Wm J Dean Vocational Technical High (01370605)</v>
          </cell>
          <cell r="I142" t="str">
            <v>Multi-race, Non-Hisp./Lat.</v>
          </cell>
          <cell r="J142" t="str">
            <v>01370605Multi-race, Non-Hisp./Lat.</v>
          </cell>
          <cell r="K142" t="str">
            <v>Level 4</v>
          </cell>
          <cell r="L142" t="str">
            <v>--</v>
          </cell>
          <cell r="M142" t="str">
            <v>--</v>
          </cell>
          <cell r="N142" t="str">
            <v>--</v>
          </cell>
          <cell r="O142" t="str">
            <v>--</v>
          </cell>
          <cell r="P142" t="str">
            <v>--</v>
          </cell>
          <cell r="Q142" t="str">
            <v>--</v>
          </cell>
          <cell r="R142" t="str">
            <v>--</v>
          </cell>
          <cell r="S142" t="str">
            <v>--</v>
          </cell>
          <cell r="T142" t="str">
            <v>--</v>
          </cell>
          <cell r="U142" t="str">
            <v>--</v>
          </cell>
          <cell r="V142" t="str">
            <v>--</v>
          </cell>
          <cell r="W142" t="str">
            <v>--</v>
          </cell>
          <cell r="X142" t="str">
            <v>--</v>
          </cell>
          <cell r="Y142" t="str">
            <v>--</v>
          </cell>
          <cell r="Z142" t="str">
            <v>--</v>
          </cell>
          <cell r="AA142" t="str">
            <v>--</v>
          </cell>
          <cell r="AB142" t="str">
            <v>--</v>
          </cell>
          <cell r="AC142" t="str">
            <v>--</v>
          </cell>
          <cell r="AD142" t="str">
            <v>--</v>
          </cell>
          <cell r="AE142" t="str">
            <v>--</v>
          </cell>
          <cell r="AF142" t="str">
            <v>--</v>
          </cell>
          <cell r="AG142" t="str">
            <v>--</v>
          </cell>
          <cell r="AH142" t="str">
            <v>--</v>
          </cell>
          <cell r="AI142" t="str">
            <v>--</v>
          </cell>
          <cell r="AJ142" t="str">
            <v>--</v>
          </cell>
          <cell r="AK142" t="str">
            <v>--</v>
          </cell>
          <cell r="AL142" t="str">
            <v>--</v>
          </cell>
          <cell r="AM142" t="str">
            <v>--</v>
          </cell>
          <cell r="AN142" t="str">
            <v>--</v>
          </cell>
          <cell r="AO142" t="str">
            <v>--</v>
          </cell>
          <cell r="AP142" t="str">
            <v>--</v>
          </cell>
          <cell r="AQ142" t="str">
            <v>--</v>
          </cell>
          <cell r="AR142" t="str">
            <v>--</v>
          </cell>
          <cell r="AS142" t="str">
            <v>--</v>
          </cell>
          <cell r="AT142" t="str">
            <v>--</v>
          </cell>
          <cell r="AU142" t="str">
            <v>--</v>
          </cell>
          <cell r="AV142" t="str">
            <v>--</v>
          </cell>
          <cell r="AW142" t="str">
            <v>--</v>
          </cell>
          <cell r="AX142" t="str">
            <v>--</v>
          </cell>
          <cell r="AY142" t="str">
            <v>--</v>
          </cell>
          <cell r="AZ142" t="str">
            <v>--</v>
          </cell>
          <cell r="BA142" t="str">
            <v>--</v>
          </cell>
          <cell r="BB142" t="str">
            <v>--</v>
          </cell>
          <cell r="BC142" t="str">
            <v>--</v>
          </cell>
          <cell r="BD142" t="str">
            <v>--</v>
          </cell>
          <cell r="BE142" t="str">
            <v>--</v>
          </cell>
          <cell r="BF142" t="str">
            <v>--</v>
          </cell>
          <cell r="BG142" t="str">
            <v>--</v>
          </cell>
          <cell r="BH142" t="str">
            <v>--</v>
          </cell>
          <cell r="BI142" t="str">
            <v>--</v>
          </cell>
          <cell r="BJ142" t="str">
            <v>--</v>
          </cell>
          <cell r="BK142" t="str">
            <v>--</v>
          </cell>
          <cell r="BL142" t="str">
            <v>--</v>
          </cell>
          <cell r="BM142" t="str">
            <v>--</v>
          </cell>
          <cell r="BN142" t="str">
            <v>--</v>
          </cell>
          <cell r="BO142" t="str">
            <v>--</v>
          </cell>
          <cell r="BP142" t="str">
            <v>--</v>
          </cell>
          <cell r="BQ142" t="str">
            <v>--</v>
          </cell>
          <cell r="BR142" t="str">
            <v>--</v>
          </cell>
          <cell r="BS142" t="str">
            <v>--</v>
          </cell>
          <cell r="BT142" t="str">
            <v>--</v>
          </cell>
          <cell r="BU142" t="str">
            <v>--</v>
          </cell>
          <cell r="BV142" t="str">
            <v>--</v>
          </cell>
          <cell r="BW142" t="str">
            <v>--</v>
          </cell>
          <cell r="BX142" t="str">
            <v>--</v>
          </cell>
          <cell r="BY142" t="str">
            <v>--</v>
          </cell>
          <cell r="BZ142" t="str">
            <v>--</v>
          </cell>
          <cell r="CA142" t="str">
            <v>--</v>
          </cell>
          <cell r="CB142" t="str">
            <v>--</v>
          </cell>
          <cell r="CC142" t="str">
            <v>--</v>
          </cell>
          <cell r="CD142" t="str">
            <v>--</v>
          </cell>
          <cell r="CE142" t="str">
            <v>--</v>
          </cell>
          <cell r="CF142" t="str">
            <v>--</v>
          </cell>
          <cell r="CG142" t="str">
            <v>--</v>
          </cell>
          <cell r="CH142" t="str">
            <v>--</v>
          </cell>
          <cell r="CI142" t="str">
            <v>--</v>
          </cell>
          <cell r="CJ142" t="str">
            <v>--</v>
          </cell>
          <cell r="CK142" t="str">
            <v>--</v>
          </cell>
          <cell r="CL142" t="str">
            <v>--</v>
          </cell>
          <cell r="CM142" t="str">
            <v>--</v>
          </cell>
          <cell r="CN142" t="str">
            <v>--</v>
          </cell>
          <cell r="CO142" t="str">
            <v>--</v>
          </cell>
          <cell r="CP142" t="str">
            <v>--</v>
          </cell>
          <cell r="CQ142" t="str">
            <v>--</v>
          </cell>
          <cell r="CR142" t="str">
            <v>--</v>
          </cell>
          <cell r="CS142" t="str">
            <v>--</v>
          </cell>
          <cell r="CT142" t="str">
            <v>--</v>
          </cell>
          <cell r="CU142" t="str">
            <v>--</v>
          </cell>
          <cell r="CV142" t="str">
            <v>--</v>
          </cell>
          <cell r="CW142" t="str">
            <v>--</v>
          </cell>
          <cell r="CX142" t="str">
            <v>--</v>
          </cell>
          <cell r="CY142" t="str">
            <v>--</v>
          </cell>
          <cell r="CZ142" t="str">
            <v>--</v>
          </cell>
          <cell r="DA142" t="str">
            <v>--</v>
          </cell>
          <cell r="DB142" t="str">
            <v>--</v>
          </cell>
          <cell r="DC142" t="str">
            <v>--</v>
          </cell>
          <cell r="DD142" t="str">
            <v>--</v>
          </cell>
          <cell r="DE142" t="str">
            <v>--</v>
          </cell>
          <cell r="DF142" t="str">
            <v>--</v>
          </cell>
          <cell r="DG142" t="str">
            <v>--</v>
          </cell>
          <cell r="DH142" t="str">
            <v>--</v>
          </cell>
          <cell r="DI142" t="str">
            <v>--</v>
          </cell>
          <cell r="DJ142" t="str">
            <v>--</v>
          </cell>
          <cell r="DK142" t="str">
            <v>--</v>
          </cell>
          <cell r="DL142" t="str">
            <v>--</v>
          </cell>
          <cell r="DM142" t="str">
            <v>--</v>
          </cell>
          <cell r="DN142" t="str">
            <v>--</v>
          </cell>
          <cell r="DO142" t="str">
            <v>--</v>
          </cell>
          <cell r="DP142" t="str">
            <v>--</v>
          </cell>
          <cell r="DQ142" t="str">
            <v>--</v>
          </cell>
          <cell r="DR142" t="str">
            <v>--</v>
          </cell>
          <cell r="DS142" t="str">
            <v>--</v>
          </cell>
          <cell r="DT142" t="str">
            <v>--</v>
          </cell>
          <cell r="DU142" t="str">
            <v>--</v>
          </cell>
          <cell r="DV142" t="str">
            <v>--</v>
          </cell>
          <cell r="DW142" t="str">
            <v>--</v>
          </cell>
          <cell r="DX142" t="str">
            <v>--</v>
          </cell>
          <cell r="DY142" t="str">
            <v>--</v>
          </cell>
          <cell r="DZ142" t="str">
            <v>--</v>
          </cell>
          <cell r="EA142" t="str">
            <v>--</v>
          </cell>
          <cell r="EB142" t="str">
            <v>--</v>
          </cell>
          <cell r="EC142" t="str">
            <v>--</v>
          </cell>
          <cell r="ED142" t="str">
            <v>--</v>
          </cell>
          <cell r="EE142" t="str">
            <v>--</v>
          </cell>
          <cell r="EF142" t="str">
            <v>--</v>
          </cell>
          <cell r="EG142" t="str">
            <v>--</v>
          </cell>
        </row>
        <row r="143">
          <cell r="A143" t="str">
            <v>01370605Amer. Ind. or Alaska Nat.</v>
          </cell>
          <cell r="B143" t="str">
            <v>01370605N</v>
          </cell>
          <cell r="C143" t="str">
            <v>0137</v>
          </cell>
          <cell r="D143" t="str">
            <v>01370605</v>
          </cell>
          <cell r="E143" t="str">
            <v>Holyoke</v>
          </cell>
          <cell r="F143" t="str">
            <v>Wm J Dean Vocational Technical High</v>
          </cell>
          <cell r="G143" t="str">
            <v>HS</v>
          </cell>
          <cell r="H143" t="str">
            <v>Holyoke - Wm J Dean Vocational Technical High (01370605)</v>
          </cell>
          <cell r="I143" t="str">
            <v>Amer. Ind. or Alaska Nat.</v>
          </cell>
          <cell r="J143" t="str">
            <v>01370605Amer. Ind. or Alaska Nat.</v>
          </cell>
          <cell r="K143" t="str">
            <v>--</v>
          </cell>
          <cell r="L143" t="str">
            <v>--</v>
          </cell>
          <cell r="M143" t="str">
            <v>--</v>
          </cell>
          <cell r="N143" t="str">
            <v>--</v>
          </cell>
          <cell r="O143" t="str">
            <v>--</v>
          </cell>
          <cell r="P143" t="str">
            <v>--</v>
          </cell>
          <cell r="Q143" t="str">
            <v>--</v>
          </cell>
          <cell r="R143" t="str">
            <v>--</v>
          </cell>
          <cell r="S143" t="str">
            <v>--</v>
          </cell>
          <cell r="T143" t="str">
            <v>--</v>
          </cell>
          <cell r="U143" t="str">
            <v>--</v>
          </cell>
          <cell r="V143" t="str">
            <v>--</v>
          </cell>
          <cell r="W143" t="str">
            <v>--</v>
          </cell>
          <cell r="X143" t="str">
            <v>--</v>
          </cell>
          <cell r="Y143" t="str">
            <v>--</v>
          </cell>
          <cell r="Z143" t="str">
            <v>--</v>
          </cell>
          <cell r="AA143" t="str">
            <v>--</v>
          </cell>
          <cell r="AB143" t="str">
            <v>--</v>
          </cell>
          <cell r="AC143" t="str">
            <v>--</v>
          </cell>
          <cell r="AD143" t="str">
            <v>--</v>
          </cell>
          <cell r="AE143" t="str">
            <v>--</v>
          </cell>
          <cell r="AF143" t="str">
            <v>--</v>
          </cell>
          <cell r="AG143" t="str">
            <v>--</v>
          </cell>
          <cell r="AH143" t="str">
            <v>--</v>
          </cell>
          <cell r="AI143" t="str">
            <v>--</v>
          </cell>
          <cell r="AJ143" t="str">
            <v>--</v>
          </cell>
          <cell r="AK143" t="str">
            <v>--</v>
          </cell>
          <cell r="AL143" t="str">
            <v>--</v>
          </cell>
          <cell r="AM143" t="str">
            <v>--</v>
          </cell>
          <cell r="AN143" t="str">
            <v>--</v>
          </cell>
          <cell r="AO143" t="str">
            <v>--</v>
          </cell>
          <cell r="AP143" t="str">
            <v>--</v>
          </cell>
          <cell r="AQ143" t="str">
            <v>--</v>
          </cell>
          <cell r="AR143" t="str">
            <v>--</v>
          </cell>
          <cell r="AS143" t="str">
            <v>--</v>
          </cell>
          <cell r="AT143" t="str">
            <v>--</v>
          </cell>
          <cell r="AU143" t="str">
            <v>--</v>
          </cell>
          <cell r="AV143" t="str">
            <v>--</v>
          </cell>
          <cell r="AW143" t="str">
            <v>--</v>
          </cell>
          <cell r="AX143" t="str">
            <v>--</v>
          </cell>
          <cell r="AY143" t="str">
            <v>--</v>
          </cell>
          <cell r="AZ143" t="str">
            <v>--</v>
          </cell>
          <cell r="BA143" t="str">
            <v>--</v>
          </cell>
          <cell r="BB143" t="str">
            <v>--</v>
          </cell>
          <cell r="BC143" t="str">
            <v>--</v>
          </cell>
          <cell r="BD143" t="str">
            <v>--</v>
          </cell>
          <cell r="BE143" t="str">
            <v>--</v>
          </cell>
          <cell r="BF143" t="str">
            <v>--</v>
          </cell>
          <cell r="BG143" t="str">
            <v>--</v>
          </cell>
          <cell r="BH143" t="str">
            <v>--</v>
          </cell>
          <cell r="BI143" t="str">
            <v>--</v>
          </cell>
          <cell r="BJ143" t="str">
            <v>--</v>
          </cell>
          <cell r="BK143" t="str">
            <v>--</v>
          </cell>
          <cell r="BL143" t="str">
            <v>--</v>
          </cell>
          <cell r="BM143" t="str">
            <v>--</v>
          </cell>
          <cell r="BN143" t="str">
            <v>--</v>
          </cell>
          <cell r="BO143" t="str">
            <v>--</v>
          </cell>
          <cell r="BP143" t="str">
            <v>--</v>
          </cell>
          <cell r="BQ143" t="str">
            <v>--</v>
          </cell>
          <cell r="BR143" t="str">
            <v>--</v>
          </cell>
          <cell r="BS143" t="str">
            <v>--</v>
          </cell>
          <cell r="BT143" t="str">
            <v>--</v>
          </cell>
          <cell r="BU143" t="str">
            <v>--</v>
          </cell>
          <cell r="BV143" t="str">
            <v>--</v>
          </cell>
          <cell r="BW143" t="str">
            <v>--</v>
          </cell>
          <cell r="BX143" t="str">
            <v>--</v>
          </cell>
          <cell r="BY143" t="str">
            <v>--</v>
          </cell>
          <cell r="BZ143" t="str">
            <v>--</v>
          </cell>
          <cell r="CA143" t="str">
            <v>--</v>
          </cell>
          <cell r="CB143" t="str">
            <v>--</v>
          </cell>
          <cell r="CC143" t="str">
            <v>--</v>
          </cell>
          <cell r="CD143" t="str">
            <v>--</v>
          </cell>
          <cell r="CE143" t="str">
            <v>--</v>
          </cell>
          <cell r="CF143" t="str">
            <v>--</v>
          </cell>
          <cell r="CG143" t="str">
            <v>--</v>
          </cell>
          <cell r="CH143" t="str">
            <v>--</v>
          </cell>
          <cell r="CI143" t="str">
            <v>--</v>
          </cell>
          <cell r="CJ143" t="str">
            <v>--</v>
          </cell>
          <cell r="CK143" t="str">
            <v>--</v>
          </cell>
          <cell r="CL143" t="str">
            <v>--</v>
          </cell>
          <cell r="CM143" t="str">
            <v>--</v>
          </cell>
          <cell r="CN143" t="str">
            <v>--</v>
          </cell>
          <cell r="CO143" t="str">
            <v>--</v>
          </cell>
          <cell r="CP143" t="str">
            <v>--</v>
          </cell>
          <cell r="CQ143" t="str">
            <v>--</v>
          </cell>
          <cell r="CR143" t="str">
            <v>--</v>
          </cell>
          <cell r="CS143" t="str">
            <v>--</v>
          </cell>
          <cell r="CT143" t="str">
            <v>--</v>
          </cell>
          <cell r="CU143" t="str">
            <v>--</v>
          </cell>
          <cell r="CV143" t="str">
            <v>--</v>
          </cell>
          <cell r="CW143" t="str">
            <v>--</v>
          </cell>
          <cell r="CX143" t="str">
            <v>--</v>
          </cell>
          <cell r="CY143" t="str">
            <v>--</v>
          </cell>
          <cell r="CZ143" t="str">
            <v>--</v>
          </cell>
          <cell r="DA143" t="str">
            <v>--</v>
          </cell>
          <cell r="DB143" t="str">
            <v>--</v>
          </cell>
          <cell r="DC143" t="str">
            <v>--</v>
          </cell>
          <cell r="DD143" t="str">
            <v>--</v>
          </cell>
          <cell r="DE143" t="str">
            <v>--</v>
          </cell>
          <cell r="DF143" t="str">
            <v>--</v>
          </cell>
          <cell r="DG143" t="str">
            <v>--</v>
          </cell>
          <cell r="DH143" t="str">
            <v>--</v>
          </cell>
          <cell r="DI143" t="str">
            <v>--</v>
          </cell>
          <cell r="DJ143" t="str">
            <v>--</v>
          </cell>
          <cell r="DK143" t="str">
            <v>--</v>
          </cell>
          <cell r="DL143" t="str">
            <v>--</v>
          </cell>
          <cell r="DM143" t="str">
            <v>--</v>
          </cell>
          <cell r="DN143" t="str">
            <v>--</v>
          </cell>
          <cell r="DO143" t="str">
            <v>--</v>
          </cell>
          <cell r="DP143" t="str">
            <v>--</v>
          </cell>
          <cell r="DQ143" t="str">
            <v>--</v>
          </cell>
          <cell r="DR143" t="str">
            <v>--</v>
          </cell>
          <cell r="DS143" t="str">
            <v>--</v>
          </cell>
          <cell r="DT143" t="str">
            <v>--</v>
          </cell>
          <cell r="DU143" t="str">
            <v>--</v>
          </cell>
          <cell r="DV143" t="str">
            <v>--</v>
          </cell>
          <cell r="DW143" t="str">
            <v>--</v>
          </cell>
          <cell r="DX143" t="str">
            <v>--</v>
          </cell>
          <cell r="DY143" t="str">
            <v>--</v>
          </cell>
          <cell r="DZ143" t="str">
            <v>--</v>
          </cell>
          <cell r="EA143" t="str">
            <v>--</v>
          </cell>
          <cell r="EB143" t="str">
            <v>--</v>
          </cell>
          <cell r="EC143" t="str">
            <v>--</v>
          </cell>
          <cell r="ED143" t="str">
            <v>--</v>
          </cell>
          <cell r="EE143" t="str">
            <v>--</v>
          </cell>
          <cell r="EF143" t="str">
            <v>--</v>
          </cell>
          <cell r="EG143" t="str">
            <v>--</v>
          </cell>
        </row>
        <row r="144">
          <cell r="A144" t="str">
            <v>01370605Nat. Haw. or Pacif. Isl.</v>
          </cell>
          <cell r="B144" t="str">
            <v>01370605P</v>
          </cell>
          <cell r="C144" t="str">
            <v>0137</v>
          </cell>
          <cell r="D144" t="str">
            <v>01370605</v>
          </cell>
          <cell r="E144" t="str">
            <v>Holyoke</v>
          </cell>
          <cell r="F144" t="str">
            <v>Wm J Dean Vocational Technical High</v>
          </cell>
          <cell r="G144" t="str">
            <v>HS</v>
          </cell>
          <cell r="H144" t="str">
            <v>Holyoke - Wm J Dean Vocational Technical High (01370605)</v>
          </cell>
          <cell r="I144" t="str">
            <v>Nat. Haw. or Pacif. Isl.</v>
          </cell>
          <cell r="J144" t="str">
            <v>01370605Nat. Haw. or Pacif. Isl.</v>
          </cell>
          <cell r="K144" t="str">
            <v>Level 4</v>
          </cell>
          <cell r="L144" t="str">
            <v>--</v>
          </cell>
          <cell r="M144" t="str">
            <v>--</v>
          </cell>
          <cell r="N144" t="str">
            <v>--</v>
          </cell>
          <cell r="O144" t="str">
            <v>--</v>
          </cell>
          <cell r="P144" t="str">
            <v>--</v>
          </cell>
          <cell r="Q144" t="str">
            <v>--</v>
          </cell>
          <cell r="R144" t="str">
            <v>--</v>
          </cell>
          <cell r="S144" t="str">
            <v>--</v>
          </cell>
          <cell r="T144" t="str">
            <v>--</v>
          </cell>
          <cell r="U144" t="str">
            <v>--</v>
          </cell>
          <cell r="V144" t="str">
            <v>--</v>
          </cell>
          <cell r="W144" t="str">
            <v>--</v>
          </cell>
          <cell r="X144" t="str">
            <v>--</v>
          </cell>
          <cell r="Y144" t="str">
            <v>--</v>
          </cell>
          <cell r="Z144" t="str">
            <v>--</v>
          </cell>
          <cell r="AA144" t="str">
            <v>--</v>
          </cell>
          <cell r="AB144" t="str">
            <v>--</v>
          </cell>
          <cell r="AC144" t="str">
            <v>--</v>
          </cell>
          <cell r="AD144" t="str">
            <v>--</v>
          </cell>
          <cell r="AE144" t="str">
            <v>--</v>
          </cell>
          <cell r="AF144" t="str">
            <v>--</v>
          </cell>
          <cell r="AG144" t="str">
            <v>--</v>
          </cell>
          <cell r="AH144" t="str">
            <v>--</v>
          </cell>
          <cell r="AI144" t="str">
            <v>--</v>
          </cell>
          <cell r="AJ144" t="str">
            <v>--</v>
          </cell>
          <cell r="AK144" t="str">
            <v>--</v>
          </cell>
          <cell r="AL144" t="str">
            <v>--</v>
          </cell>
          <cell r="AM144" t="str">
            <v>--</v>
          </cell>
          <cell r="AN144" t="str">
            <v>--</v>
          </cell>
          <cell r="AO144" t="str">
            <v>--</v>
          </cell>
          <cell r="AP144" t="str">
            <v>--</v>
          </cell>
          <cell r="AQ144" t="str">
            <v>--</v>
          </cell>
          <cell r="AR144" t="str">
            <v>--</v>
          </cell>
          <cell r="AS144" t="str">
            <v>--</v>
          </cell>
          <cell r="AT144" t="str">
            <v>--</v>
          </cell>
          <cell r="AU144" t="str">
            <v>--</v>
          </cell>
          <cell r="AV144" t="str">
            <v>--</v>
          </cell>
          <cell r="AW144" t="str">
            <v>--</v>
          </cell>
          <cell r="AX144" t="str">
            <v>--</v>
          </cell>
          <cell r="AY144" t="str">
            <v>--</v>
          </cell>
          <cell r="AZ144" t="str">
            <v>--</v>
          </cell>
          <cell r="BA144" t="str">
            <v>--</v>
          </cell>
          <cell r="BB144" t="str">
            <v>--</v>
          </cell>
          <cell r="BC144" t="str">
            <v>--</v>
          </cell>
          <cell r="BD144" t="str">
            <v>--</v>
          </cell>
          <cell r="BE144" t="str">
            <v>--</v>
          </cell>
          <cell r="BF144" t="str">
            <v>--</v>
          </cell>
          <cell r="BG144" t="str">
            <v>--</v>
          </cell>
          <cell r="BH144" t="str">
            <v>--</v>
          </cell>
          <cell r="BI144" t="str">
            <v>--</v>
          </cell>
          <cell r="BJ144" t="str">
            <v>--</v>
          </cell>
          <cell r="BK144" t="str">
            <v>--</v>
          </cell>
          <cell r="BL144" t="str">
            <v>--</v>
          </cell>
          <cell r="BM144" t="str">
            <v>--</v>
          </cell>
          <cell r="BN144" t="str">
            <v>--</v>
          </cell>
          <cell r="BO144" t="str">
            <v>--</v>
          </cell>
          <cell r="BP144" t="str">
            <v>--</v>
          </cell>
          <cell r="BQ144" t="str">
            <v>--</v>
          </cell>
          <cell r="BR144" t="str">
            <v>--</v>
          </cell>
          <cell r="BS144" t="str">
            <v>--</v>
          </cell>
          <cell r="BT144" t="str">
            <v>--</v>
          </cell>
          <cell r="BU144" t="str">
            <v>--</v>
          </cell>
          <cell r="BV144" t="str">
            <v>--</v>
          </cell>
          <cell r="BW144" t="str">
            <v>--</v>
          </cell>
          <cell r="BX144" t="str">
            <v>--</v>
          </cell>
          <cell r="BY144" t="str">
            <v>--</v>
          </cell>
          <cell r="BZ144" t="str">
            <v>--</v>
          </cell>
          <cell r="CA144" t="str">
            <v>--</v>
          </cell>
          <cell r="CB144" t="str">
            <v>--</v>
          </cell>
          <cell r="CC144" t="str">
            <v>--</v>
          </cell>
          <cell r="CD144" t="str">
            <v>--</v>
          </cell>
          <cell r="CE144" t="str">
            <v>--</v>
          </cell>
          <cell r="CF144" t="str">
            <v>--</v>
          </cell>
          <cell r="CG144" t="str">
            <v>--</v>
          </cell>
          <cell r="CH144" t="str">
            <v>--</v>
          </cell>
          <cell r="CI144" t="str">
            <v>--</v>
          </cell>
          <cell r="CJ144" t="str">
            <v>--</v>
          </cell>
          <cell r="CK144" t="str">
            <v>--</v>
          </cell>
          <cell r="CL144" t="str">
            <v>--</v>
          </cell>
          <cell r="CM144" t="str">
            <v>--</v>
          </cell>
          <cell r="CN144" t="str">
            <v>--</v>
          </cell>
          <cell r="CO144" t="str">
            <v>--</v>
          </cell>
          <cell r="CP144" t="str">
            <v>--</v>
          </cell>
          <cell r="CQ144" t="str">
            <v>--</v>
          </cell>
          <cell r="CR144" t="str">
            <v>--</v>
          </cell>
          <cell r="CS144" t="str">
            <v>--</v>
          </cell>
          <cell r="CT144" t="str">
            <v>--</v>
          </cell>
          <cell r="CU144" t="str">
            <v>--</v>
          </cell>
          <cell r="CV144" t="str">
            <v>--</v>
          </cell>
          <cell r="CW144" t="str">
            <v>--</v>
          </cell>
          <cell r="CX144" t="str">
            <v>--</v>
          </cell>
          <cell r="CY144" t="str">
            <v>--</v>
          </cell>
          <cell r="CZ144" t="str">
            <v>--</v>
          </cell>
          <cell r="DA144" t="str">
            <v>--</v>
          </cell>
          <cell r="DB144" t="str">
            <v>--</v>
          </cell>
          <cell r="DC144" t="str">
            <v>--</v>
          </cell>
          <cell r="DD144" t="str">
            <v>--</v>
          </cell>
          <cell r="DE144" t="str">
            <v>--</v>
          </cell>
          <cell r="DF144" t="str">
            <v>--</v>
          </cell>
          <cell r="DG144" t="str">
            <v>--</v>
          </cell>
          <cell r="DH144" t="str">
            <v>--</v>
          </cell>
          <cell r="DI144" t="str">
            <v>--</v>
          </cell>
          <cell r="DJ144" t="str">
            <v>--</v>
          </cell>
          <cell r="DK144" t="str">
            <v>--</v>
          </cell>
          <cell r="DL144" t="str">
            <v>--</v>
          </cell>
          <cell r="DM144" t="str">
            <v>--</v>
          </cell>
          <cell r="DN144" t="str">
            <v>--</v>
          </cell>
          <cell r="DO144" t="str">
            <v>--</v>
          </cell>
          <cell r="DP144" t="str">
            <v>--</v>
          </cell>
          <cell r="DQ144" t="str">
            <v>--</v>
          </cell>
          <cell r="DR144" t="str">
            <v>--</v>
          </cell>
          <cell r="DS144" t="str">
            <v>--</v>
          </cell>
          <cell r="DT144" t="str">
            <v>--</v>
          </cell>
          <cell r="DU144" t="str">
            <v>--</v>
          </cell>
          <cell r="DV144" t="str">
            <v>--</v>
          </cell>
          <cell r="DW144" t="str">
            <v>--</v>
          </cell>
          <cell r="DX144" t="str">
            <v>--</v>
          </cell>
          <cell r="DY144" t="str">
            <v>--</v>
          </cell>
          <cell r="DZ144" t="str">
            <v>--</v>
          </cell>
          <cell r="EA144" t="str">
            <v>--</v>
          </cell>
          <cell r="EB144" t="str">
            <v>--</v>
          </cell>
          <cell r="EC144" t="str">
            <v>--</v>
          </cell>
          <cell r="ED144" t="str">
            <v>--</v>
          </cell>
          <cell r="EE144" t="str">
            <v>--</v>
          </cell>
          <cell r="EF144" t="str">
            <v>--</v>
          </cell>
          <cell r="EG144" t="str">
            <v>--</v>
          </cell>
        </row>
        <row r="145">
          <cell r="A145" t="str">
            <v>01370605High needs</v>
          </cell>
          <cell r="B145" t="str">
            <v>01370605S</v>
          </cell>
          <cell r="C145" t="str">
            <v>0137</v>
          </cell>
          <cell r="D145" t="str">
            <v>01370605</v>
          </cell>
          <cell r="E145" t="str">
            <v>Holyoke</v>
          </cell>
          <cell r="F145" t="str">
            <v>Wm J Dean Vocational Technical High</v>
          </cell>
          <cell r="G145" t="str">
            <v>HS</v>
          </cell>
          <cell r="H145" t="str">
            <v>Holyoke - Wm J Dean Vocational Technical High (01370605)</v>
          </cell>
          <cell r="I145" t="str">
            <v>High needs</v>
          </cell>
          <cell r="J145" t="str">
            <v>01370605High needs</v>
          </cell>
          <cell r="K145" t="str">
            <v>Level 4</v>
          </cell>
          <cell r="L145">
            <v>70.7</v>
          </cell>
          <cell r="M145">
            <v>73.099999999999994</v>
          </cell>
          <cell r="N145">
            <v>75.599999999999994</v>
          </cell>
          <cell r="O145">
            <v>75.599999999999994</v>
          </cell>
          <cell r="P145">
            <v>86.1</v>
          </cell>
          <cell r="Q145">
            <v>79.3</v>
          </cell>
          <cell r="R145">
            <v>81.8</v>
          </cell>
          <cell r="S145">
            <v>84.2</v>
          </cell>
          <cell r="T145">
            <v>86.7</v>
          </cell>
          <cell r="U145">
            <v>61.6</v>
          </cell>
          <cell r="V145">
            <v>64.8</v>
          </cell>
          <cell r="W145">
            <v>63.3</v>
          </cell>
          <cell r="X145">
            <v>68</v>
          </cell>
          <cell r="Y145">
            <v>58.3</v>
          </cell>
          <cell r="Z145">
            <v>72.5</v>
          </cell>
          <cell r="AA145">
            <v>75.7</v>
          </cell>
          <cell r="AB145">
            <v>78.900000000000006</v>
          </cell>
          <cell r="AC145">
            <v>82.1</v>
          </cell>
          <cell r="AD145">
            <v>51.1</v>
          </cell>
          <cell r="AE145">
            <v>55.2</v>
          </cell>
          <cell r="AF145">
            <v>51</v>
          </cell>
          <cell r="AG145">
            <v>59.3</v>
          </cell>
          <cell r="AH145">
            <v>56.4</v>
          </cell>
          <cell r="AI145">
            <v>64.599999999999994</v>
          </cell>
          <cell r="AJ145">
            <v>68.7</v>
          </cell>
          <cell r="AK145">
            <v>72.8</v>
          </cell>
          <cell r="AL145">
            <v>76.900000000000006</v>
          </cell>
          <cell r="AM145">
            <v>34</v>
          </cell>
          <cell r="AN145">
            <v>36.5</v>
          </cell>
          <cell r="AO145">
            <v>23.8</v>
          </cell>
          <cell r="AP145">
            <v>26.3</v>
          </cell>
          <cell r="AQ145">
            <v>27.2</v>
          </cell>
          <cell r="AR145">
            <v>29.7</v>
          </cell>
          <cell r="AS145">
            <v>32.200000000000003</v>
          </cell>
          <cell r="AT145">
            <v>34.700000000000003</v>
          </cell>
          <cell r="AU145">
            <v>37.200000000000003</v>
          </cell>
          <cell r="AV145">
            <v>40.6</v>
          </cell>
          <cell r="AW145">
            <v>43.1</v>
          </cell>
          <cell r="AX145">
            <v>39.299999999999997</v>
          </cell>
          <cell r="AY145">
            <v>41.8</v>
          </cell>
          <cell r="AZ145">
            <v>28.5</v>
          </cell>
          <cell r="BA145">
            <v>31</v>
          </cell>
          <cell r="BB145">
            <v>33.5</v>
          </cell>
          <cell r="BC145">
            <v>36</v>
          </cell>
          <cell r="BD145">
            <v>38.5</v>
          </cell>
          <cell r="BE145">
            <v>14</v>
          </cell>
          <cell r="BF145">
            <v>12.8</v>
          </cell>
          <cell r="BG145">
            <v>14.5</v>
          </cell>
          <cell r="BH145">
            <v>11.7</v>
          </cell>
          <cell r="BI145">
            <v>7.7</v>
          </cell>
          <cell r="BJ145">
            <v>7.5</v>
          </cell>
          <cell r="BK145">
            <v>6.3</v>
          </cell>
          <cell r="BL145">
            <v>5.2</v>
          </cell>
          <cell r="BM145">
            <v>4</v>
          </cell>
          <cell r="BN145">
            <v>38</v>
          </cell>
          <cell r="BO145">
            <v>48</v>
          </cell>
          <cell r="BP145">
            <v>35.5</v>
          </cell>
          <cell r="BQ145">
            <v>45.5</v>
          </cell>
          <cell r="BR145">
            <v>52</v>
          </cell>
          <cell r="BS145">
            <v>60</v>
          </cell>
          <cell r="BT145">
            <v>60</v>
          </cell>
          <cell r="BU145">
            <v>60</v>
          </cell>
          <cell r="BV145">
            <v>60</v>
          </cell>
          <cell r="BW145">
            <v>48</v>
          </cell>
          <cell r="BX145">
            <v>51</v>
          </cell>
          <cell r="BY145">
            <v>45.5</v>
          </cell>
          <cell r="BZ145">
            <v>51</v>
          </cell>
          <cell r="CA145">
            <v>22.5</v>
          </cell>
          <cell r="CB145">
            <v>37</v>
          </cell>
          <cell r="CC145">
            <v>51.5</v>
          </cell>
          <cell r="CD145">
            <v>60</v>
          </cell>
          <cell r="CE145">
            <v>60</v>
          </cell>
          <cell r="CF145">
            <v>18</v>
          </cell>
          <cell r="CG145">
            <v>16.2</v>
          </cell>
          <cell r="CH145">
            <v>8.6999999999999993</v>
          </cell>
          <cell r="CI145">
            <v>7.8</v>
          </cell>
          <cell r="CJ145">
            <v>4</v>
          </cell>
          <cell r="CK145">
            <v>3.6</v>
          </cell>
          <cell r="CL145">
            <v>3.2</v>
          </cell>
          <cell r="CM145">
            <v>2.9</v>
          </cell>
          <cell r="CN145">
            <v>2.6</v>
          </cell>
          <cell r="CO145">
            <v>32.700000000000003</v>
          </cell>
          <cell r="CP145">
            <v>29.4</v>
          </cell>
          <cell r="CQ145">
            <v>29</v>
          </cell>
          <cell r="CR145">
            <v>26.1</v>
          </cell>
          <cell r="CS145">
            <v>35.5</v>
          </cell>
          <cell r="CT145">
            <v>32</v>
          </cell>
          <cell r="CU145">
            <v>28.8</v>
          </cell>
          <cell r="CV145">
            <v>25.9</v>
          </cell>
          <cell r="CW145">
            <v>23.3</v>
          </cell>
          <cell r="CX145">
            <v>36.1</v>
          </cell>
          <cell r="CY145">
            <v>32.5</v>
          </cell>
          <cell r="CZ145">
            <v>33.799999999999997</v>
          </cell>
          <cell r="DA145">
            <v>30.4</v>
          </cell>
          <cell r="DB145">
            <v>23.2</v>
          </cell>
          <cell r="DC145">
            <v>20.9</v>
          </cell>
          <cell r="DD145">
            <v>18.8</v>
          </cell>
          <cell r="DE145">
            <v>16.899999999999999</v>
          </cell>
          <cell r="DF145">
            <v>15.2</v>
          </cell>
          <cell r="DG145">
            <v>0.9</v>
          </cell>
          <cell r="DH145">
            <v>1</v>
          </cell>
          <cell r="DI145">
            <v>1.6</v>
          </cell>
          <cell r="DJ145">
            <v>1.8</v>
          </cell>
          <cell r="DK145">
            <v>2</v>
          </cell>
          <cell r="DL145">
            <v>2.2000000000000002</v>
          </cell>
          <cell r="DM145">
            <v>2.4</v>
          </cell>
          <cell r="DN145">
            <v>2.7</v>
          </cell>
          <cell r="DO145">
            <v>2.9</v>
          </cell>
          <cell r="DP145">
            <v>7.3</v>
          </cell>
          <cell r="DQ145">
            <v>8</v>
          </cell>
          <cell r="DR145">
            <v>8.9</v>
          </cell>
          <cell r="DS145">
            <v>9.8000000000000007</v>
          </cell>
          <cell r="DT145">
            <v>3.2</v>
          </cell>
          <cell r="DU145">
            <v>3.5</v>
          </cell>
          <cell r="DV145">
            <v>3.9</v>
          </cell>
          <cell r="DW145">
            <v>4.3</v>
          </cell>
          <cell r="DX145">
            <v>4.7</v>
          </cell>
          <cell r="DY145">
            <v>0</v>
          </cell>
          <cell r="DZ145">
            <v>1</v>
          </cell>
          <cell r="EA145">
            <v>0</v>
          </cell>
          <cell r="EB145">
            <v>1</v>
          </cell>
          <cell r="EC145">
            <v>0</v>
          </cell>
          <cell r="ED145">
            <v>1</v>
          </cell>
          <cell r="EE145">
            <v>1.1000000000000001</v>
          </cell>
          <cell r="EF145">
            <v>1.2</v>
          </cell>
          <cell r="EG145">
            <v>1.3</v>
          </cell>
        </row>
        <row r="146">
          <cell r="A146" t="str">
            <v>01370605All students</v>
          </cell>
          <cell r="B146" t="str">
            <v>01370605T</v>
          </cell>
          <cell r="C146" t="str">
            <v>0137</v>
          </cell>
          <cell r="D146" t="str">
            <v>01370605</v>
          </cell>
          <cell r="E146" t="str">
            <v>Holyoke</v>
          </cell>
          <cell r="F146" t="str">
            <v>Wm J Dean Vocational Technical High</v>
          </cell>
          <cell r="G146" t="str">
            <v>HS</v>
          </cell>
          <cell r="H146" t="str">
            <v>Holyoke - Wm J Dean Vocational Technical High (01370605)</v>
          </cell>
          <cell r="I146" t="str">
            <v>All students</v>
          </cell>
          <cell r="J146" t="str">
            <v>01370605All students</v>
          </cell>
          <cell r="K146" t="str">
            <v>Level 4</v>
          </cell>
          <cell r="L146">
            <v>72.3</v>
          </cell>
          <cell r="M146">
            <v>74.599999999999994</v>
          </cell>
          <cell r="N146">
            <v>76.2</v>
          </cell>
          <cell r="O146">
            <v>76.900000000000006</v>
          </cell>
          <cell r="P146">
            <v>86.5</v>
          </cell>
          <cell r="Q146">
            <v>80.5</v>
          </cell>
          <cell r="R146">
            <v>82.8</v>
          </cell>
          <cell r="S146">
            <v>85.1</v>
          </cell>
          <cell r="T146">
            <v>87.5</v>
          </cell>
          <cell r="U146">
            <v>63.7</v>
          </cell>
          <cell r="V146">
            <v>66.7</v>
          </cell>
          <cell r="W146">
            <v>64.2</v>
          </cell>
          <cell r="X146">
            <v>69.8</v>
          </cell>
          <cell r="Y146">
            <v>59.4</v>
          </cell>
          <cell r="Z146">
            <v>74.099999999999994</v>
          </cell>
          <cell r="AA146">
            <v>77.099999999999994</v>
          </cell>
          <cell r="AB146">
            <v>80.099999999999994</v>
          </cell>
          <cell r="AC146">
            <v>83.2</v>
          </cell>
          <cell r="AD146">
            <v>53.1</v>
          </cell>
          <cell r="AE146">
            <v>57</v>
          </cell>
          <cell r="AF146">
            <v>51.9</v>
          </cell>
          <cell r="AG146">
            <v>60.9</v>
          </cell>
          <cell r="AH146">
            <v>56.5</v>
          </cell>
          <cell r="AI146">
            <v>66.099999999999994</v>
          </cell>
          <cell r="AJ146">
            <v>70</v>
          </cell>
          <cell r="AK146">
            <v>73.900000000000006</v>
          </cell>
          <cell r="AL146">
            <v>77.900000000000006</v>
          </cell>
          <cell r="AM146">
            <v>34.200000000000003</v>
          </cell>
          <cell r="AN146">
            <v>36.700000000000003</v>
          </cell>
          <cell r="AO146">
            <v>24.6</v>
          </cell>
          <cell r="AP146">
            <v>27.1</v>
          </cell>
          <cell r="AQ146">
            <v>27.5</v>
          </cell>
          <cell r="AR146">
            <v>30</v>
          </cell>
          <cell r="AS146">
            <v>32.5</v>
          </cell>
          <cell r="AT146">
            <v>35</v>
          </cell>
          <cell r="AU146">
            <v>37.5</v>
          </cell>
          <cell r="AV146">
            <v>40.799999999999997</v>
          </cell>
          <cell r="AW146">
            <v>43.3</v>
          </cell>
          <cell r="AX146">
            <v>39.700000000000003</v>
          </cell>
          <cell r="AY146">
            <v>42.2</v>
          </cell>
          <cell r="AZ146">
            <v>29.1</v>
          </cell>
          <cell r="BA146">
            <v>31.6</v>
          </cell>
          <cell r="BB146">
            <v>34.1</v>
          </cell>
          <cell r="BC146">
            <v>36.6</v>
          </cell>
          <cell r="BD146">
            <v>39.1</v>
          </cell>
          <cell r="BE146">
            <v>14.1</v>
          </cell>
          <cell r="BF146">
            <v>12.9</v>
          </cell>
          <cell r="BG146">
            <v>15.2</v>
          </cell>
          <cell r="BH146">
            <v>11.8</v>
          </cell>
          <cell r="BI146">
            <v>10.1</v>
          </cell>
          <cell r="BJ146">
            <v>7.6</v>
          </cell>
          <cell r="BK146">
            <v>6.4</v>
          </cell>
          <cell r="BL146">
            <v>5.2</v>
          </cell>
          <cell r="BM146">
            <v>4.0999999999999996</v>
          </cell>
          <cell r="BN146">
            <v>35.5</v>
          </cell>
          <cell r="BO146">
            <v>45.5</v>
          </cell>
          <cell r="BP146">
            <v>36</v>
          </cell>
          <cell r="BQ146">
            <v>46</v>
          </cell>
          <cell r="BR146">
            <v>52</v>
          </cell>
          <cell r="BS146">
            <v>60</v>
          </cell>
          <cell r="BT146">
            <v>60</v>
          </cell>
          <cell r="BU146">
            <v>60</v>
          </cell>
          <cell r="BV146">
            <v>60</v>
          </cell>
          <cell r="BW146">
            <v>49.5</v>
          </cell>
          <cell r="BX146">
            <v>51</v>
          </cell>
          <cell r="BY146">
            <v>47</v>
          </cell>
          <cell r="BZ146">
            <v>51</v>
          </cell>
          <cell r="CA146">
            <v>23</v>
          </cell>
          <cell r="CB146">
            <v>37.5</v>
          </cell>
          <cell r="CC146">
            <v>52</v>
          </cell>
          <cell r="CD146">
            <v>60</v>
          </cell>
          <cell r="CE146">
            <v>60</v>
          </cell>
          <cell r="CF146">
            <v>16.5</v>
          </cell>
          <cell r="CG146">
            <v>14.9</v>
          </cell>
          <cell r="CH146">
            <v>8.5</v>
          </cell>
          <cell r="CI146">
            <v>7.7</v>
          </cell>
          <cell r="CJ146">
            <v>3.9</v>
          </cell>
          <cell r="CK146">
            <v>3.5</v>
          </cell>
          <cell r="CL146">
            <v>3.2</v>
          </cell>
          <cell r="CM146">
            <v>2.8</v>
          </cell>
          <cell r="CN146">
            <v>2.6</v>
          </cell>
          <cell r="CO146">
            <v>31.1</v>
          </cell>
          <cell r="CP146">
            <v>28</v>
          </cell>
          <cell r="CQ146">
            <v>28.3</v>
          </cell>
          <cell r="CR146">
            <v>25.5</v>
          </cell>
          <cell r="CS146">
            <v>34.4</v>
          </cell>
          <cell r="CT146">
            <v>31</v>
          </cell>
          <cell r="CU146">
            <v>27.9</v>
          </cell>
          <cell r="CV146">
            <v>25.1</v>
          </cell>
          <cell r="CW146">
            <v>22.6</v>
          </cell>
          <cell r="CX146">
            <v>34.1</v>
          </cell>
          <cell r="CY146">
            <v>30.7</v>
          </cell>
          <cell r="CZ146">
            <v>33.1</v>
          </cell>
          <cell r="DA146">
            <v>29.8</v>
          </cell>
          <cell r="DB146">
            <v>23.5</v>
          </cell>
          <cell r="DC146">
            <v>21.2</v>
          </cell>
          <cell r="DD146">
            <v>19</v>
          </cell>
          <cell r="DE146">
            <v>17.100000000000001</v>
          </cell>
          <cell r="DF146">
            <v>15.4</v>
          </cell>
          <cell r="DG146">
            <v>0.8</v>
          </cell>
          <cell r="DH146">
            <v>0.9</v>
          </cell>
          <cell r="DI146">
            <v>1.6</v>
          </cell>
          <cell r="DJ146">
            <v>1.8</v>
          </cell>
          <cell r="DK146">
            <v>2.9</v>
          </cell>
          <cell r="DL146">
            <v>3.2</v>
          </cell>
          <cell r="DM146">
            <v>3.5</v>
          </cell>
          <cell r="DN146">
            <v>3.9</v>
          </cell>
          <cell r="DO146">
            <v>4.2</v>
          </cell>
          <cell r="DP146">
            <v>11.8</v>
          </cell>
          <cell r="DQ146">
            <v>13</v>
          </cell>
          <cell r="DR146">
            <v>10.199999999999999</v>
          </cell>
          <cell r="DS146">
            <v>11.2</v>
          </cell>
          <cell r="DT146">
            <v>4.2</v>
          </cell>
          <cell r="DU146">
            <v>4.5999999999999996</v>
          </cell>
          <cell r="DV146">
            <v>5.0999999999999996</v>
          </cell>
          <cell r="DW146">
            <v>5.6</v>
          </cell>
          <cell r="DX146">
            <v>6.1</v>
          </cell>
          <cell r="DY146">
            <v>0</v>
          </cell>
          <cell r="DZ146">
            <v>1</v>
          </cell>
          <cell r="EA146">
            <v>0</v>
          </cell>
          <cell r="EB146">
            <v>1</v>
          </cell>
          <cell r="EC146">
            <v>0</v>
          </cell>
          <cell r="ED146">
            <v>1</v>
          </cell>
          <cell r="EE146">
            <v>1.1000000000000001</v>
          </cell>
          <cell r="EF146">
            <v>1.2</v>
          </cell>
          <cell r="EG146">
            <v>1.3</v>
          </cell>
        </row>
        <row r="147">
          <cell r="A147" t="str">
            <v>01490009Asian</v>
          </cell>
          <cell r="B147" t="str">
            <v>01490009A</v>
          </cell>
          <cell r="C147" t="str">
            <v>0149</v>
          </cell>
          <cell r="D147" t="str">
            <v>01490009</v>
          </cell>
          <cell r="E147" t="str">
            <v>Lawrence</v>
          </cell>
          <cell r="F147" t="str">
            <v>Community Day Arlington</v>
          </cell>
          <cell r="G147" t="str">
            <v>EES</v>
          </cell>
          <cell r="H147" t="str">
            <v>Lawrence - Community Day Arlington (01490009)</v>
          </cell>
          <cell r="I147" t="str">
            <v>Asian</v>
          </cell>
          <cell r="J147" t="str">
            <v>01490009Asian</v>
          </cell>
          <cell r="K147" t="str">
            <v>--</v>
          </cell>
          <cell r="L147" t="str">
            <v>--</v>
          </cell>
          <cell r="M147" t="str">
            <v>--</v>
          </cell>
          <cell r="N147" t="str">
            <v>--</v>
          </cell>
          <cell r="O147" t="str">
            <v>--</v>
          </cell>
          <cell r="P147" t="str">
            <v>--</v>
          </cell>
          <cell r="Q147" t="str">
            <v>--</v>
          </cell>
          <cell r="R147" t="str">
            <v>--</v>
          </cell>
          <cell r="S147" t="str">
            <v>--</v>
          </cell>
          <cell r="T147" t="str">
            <v>--</v>
          </cell>
          <cell r="U147" t="str">
            <v>--</v>
          </cell>
          <cell r="V147" t="str">
            <v>--</v>
          </cell>
          <cell r="W147" t="str">
            <v>--</v>
          </cell>
          <cell r="X147" t="str">
            <v>--</v>
          </cell>
          <cell r="Y147" t="str">
            <v>--</v>
          </cell>
          <cell r="Z147" t="str">
            <v>--</v>
          </cell>
          <cell r="AA147" t="str">
            <v>--</v>
          </cell>
          <cell r="AB147" t="str">
            <v>--</v>
          </cell>
          <cell r="AC147" t="str">
            <v>--</v>
          </cell>
          <cell r="AD147" t="str">
            <v>--</v>
          </cell>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t="str">
            <v>--</v>
          </cell>
          <cell r="AQ147" t="str">
            <v>--</v>
          </cell>
          <cell r="AR147" t="str">
            <v>--</v>
          </cell>
          <cell r="AS147" t="str">
            <v>--</v>
          </cell>
          <cell r="AT147" t="str">
            <v>--</v>
          </cell>
          <cell r="AU147" t="str">
            <v>--</v>
          </cell>
          <cell r="AV147" t="str">
            <v>--</v>
          </cell>
          <cell r="AW147" t="str">
            <v>--</v>
          </cell>
          <cell r="AX147" t="str">
            <v>--</v>
          </cell>
          <cell r="AY147" t="str">
            <v>--</v>
          </cell>
          <cell r="AZ147" t="str">
            <v>--</v>
          </cell>
          <cell r="BA147" t="str">
            <v>--</v>
          </cell>
          <cell r="BB147" t="str">
            <v>--</v>
          </cell>
          <cell r="BC147" t="str">
            <v>--</v>
          </cell>
          <cell r="BD147" t="str">
            <v>--</v>
          </cell>
          <cell r="BE147" t="str">
            <v>--</v>
          </cell>
          <cell r="BF147" t="str">
            <v>--</v>
          </cell>
          <cell r="BG147" t="str">
            <v>--</v>
          </cell>
          <cell r="BH147" t="str">
            <v>--</v>
          </cell>
          <cell r="BI147" t="str">
            <v>--</v>
          </cell>
          <cell r="BJ147" t="str">
            <v>--</v>
          </cell>
          <cell r="BK147" t="str">
            <v>--</v>
          </cell>
          <cell r="BL147" t="str">
            <v>--</v>
          </cell>
          <cell r="BM147" t="str">
            <v>--</v>
          </cell>
          <cell r="BN147" t="str">
            <v>--</v>
          </cell>
          <cell r="BO147" t="str">
            <v>--</v>
          </cell>
          <cell r="BP147" t="str">
            <v>--</v>
          </cell>
          <cell r="BQ147" t="str">
            <v>--</v>
          </cell>
          <cell r="BR147" t="str">
            <v>--</v>
          </cell>
          <cell r="BS147" t="str">
            <v>--</v>
          </cell>
          <cell r="BT147" t="str">
            <v>--</v>
          </cell>
          <cell r="BU147" t="str">
            <v>--</v>
          </cell>
          <cell r="BV147" t="str">
            <v>--</v>
          </cell>
          <cell r="BW147" t="str">
            <v>--</v>
          </cell>
          <cell r="BX147" t="str">
            <v>--</v>
          </cell>
          <cell r="BY147" t="str">
            <v>--</v>
          </cell>
          <cell r="BZ147" t="str">
            <v>--</v>
          </cell>
          <cell r="CA147" t="str">
            <v>--</v>
          </cell>
          <cell r="CB147" t="str">
            <v>--</v>
          </cell>
          <cell r="CC147" t="str">
            <v>--</v>
          </cell>
          <cell r="CD147" t="str">
            <v>--</v>
          </cell>
          <cell r="CE147" t="str">
            <v>--</v>
          </cell>
          <cell r="CF147" t="str">
            <v>--</v>
          </cell>
          <cell r="CG147" t="str">
            <v>--</v>
          </cell>
          <cell r="CH147" t="str">
            <v>--</v>
          </cell>
          <cell r="CI147" t="str">
            <v>--</v>
          </cell>
          <cell r="CJ147" t="str">
            <v>--</v>
          </cell>
          <cell r="CK147" t="str">
            <v>--</v>
          </cell>
          <cell r="CL147" t="str">
            <v>--</v>
          </cell>
          <cell r="CM147" t="str">
            <v>--</v>
          </cell>
          <cell r="CN147" t="str">
            <v>--</v>
          </cell>
          <cell r="CO147" t="str">
            <v>--</v>
          </cell>
          <cell r="CP147" t="str">
            <v>--</v>
          </cell>
          <cell r="CQ147" t="str">
            <v>--</v>
          </cell>
          <cell r="CR147" t="str">
            <v>--</v>
          </cell>
          <cell r="CS147" t="str">
            <v>--</v>
          </cell>
          <cell r="CT147" t="str">
            <v>--</v>
          </cell>
          <cell r="CU147" t="str">
            <v>--</v>
          </cell>
          <cell r="CV147" t="str">
            <v>--</v>
          </cell>
          <cell r="CW147" t="str">
            <v>--</v>
          </cell>
          <cell r="CX147" t="str">
            <v>--</v>
          </cell>
          <cell r="CY147" t="str">
            <v>--</v>
          </cell>
          <cell r="CZ147" t="str">
            <v>--</v>
          </cell>
          <cell r="DA147" t="str">
            <v>--</v>
          </cell>
          <cell r="DB147" t="str">
            <v>--</v>
          </cell>
          <cell r="DC147" t="str">
            <v>--</v>
          </cell>
          <cell r="DD147" t="str">
            <v>--</v>
          </cell>
          <cell r="DE147" t="str">
            <v>--</v>
          </cell>
          <cell r="DF147" t="str">
            <v>--</v>
          </cell>
          <cell r="DG147" t="str">
            <v>--</v>
          </cell>
          <cell r="DH147" t="str">
            <v>--</v>
          </cell>
          <cell r="DI147" t="str">
            <v>--</v>
          </cell>
          <cell r="DJ147" t="str">
            <v>--</v>
          </cell>
          <cell r="DK147" t="str">
            <v>--</v>
          </cell>
          <cell r="DL147" t="str">
            <v>--</v>
          </cell>
          <cell r="DM147" t="str">
            <v>--</v>
          </cell>
          <cell r="DN147" t="str">
            <v>--</v>
          </cell>
          <cell r="DO147" t="str">
            <v>--</v>
          </cell>
          <cell r="DP147" t="str">
            <v>--</v>
          </cell>
          <cell r="DQ147" t="str">
            <v>--</v>
          </cell>
          <cell r="DR147" t="str">
            <v>--</v>
          </cell>
          <cell r="DS147" t="str">
            <v>--</v>
          </cell>
          <cell r="DT147" t="str">
            <v>--</v>
          </cell>
          <cell r="DU147" t="str">
            <v>--</v>
          </cell>
          <cell r="DV147" t="str">
            <v>--</v>
          </cell>
          <cell r="DW147" t="str">
            <v>--</v>
          </cell>
          <cell r="DX147" t="str">
            <v>--</v>
          </cell>
          <cell r="DY147" t="str">
            <v>--</v>
          </cell>
          <cell r="DZ147" t="str">
            <v>--</v>
          </cell>
          <cell r="EA147" t="str">
            <v>--</v>
          </cell>
          <cell r="EB147" t="str">
            <v>--</v>
          </cell>
          <cell r="EC147" t="str">
            <v>--</v>
          </cell>
          <cell r="ED147" t="str">
            <v>--</v>
          </cell>
          <cell r="EE147" t="str">
            <v>--</v>
          </cell>
          <cell r="EF147" t="str">
            <v>--</v>
          </cell>
          <cell r="EG147" t="str">
            <v>--</v>
          </cell>
        </row>
        <row r="148">
          <cell r="A148" t="str">
            <v>01490009Afr. Amer/Black</v>
          </cell>
          <cell r="B148" t="str">
            <v>01490009B</v>
          </cell>
          <cell r="C148" t="str">
            <v>0149</v>
          </cell>
          <cell r="D148" t="str">
            <v>01490009</v>
          </cell>
          <cell r="E148" t="str">
            <v>Lawrence</v>
          </cell>
          <cell r="F148" t="str">
            <v>Community Day Arlington</v>
          </cell>
          <cell r="G148" t="str">
            <v>EES</v>
          </cell>
          <cell r="H148" t="str">
            <v>Lawrence - Community Day Arlington (01490009)</v>
          </cell>
          <cell r="I148" t="str">
            <v>Afr. Amer/Black</v>
          </cell>
          <cell r="J148" t="str">
            <v>01490009Afr. Amer/Black</v>
          </cell>
          <cell r="K148" t="str">
            <v>--</v>
          </cell>
          <cell r="L148" t="str">
            <v>--</v>
          </cell>
          <cell r="M148" t="str">
            <v>--</v>
          </cell>
          <cell r="N148" t="str">
            <v>--</v>
          </cell>
          <cell r="O148" t="str">
            <v>--</v>
          </cell>
          <cell r="P148" t="str">
            <v>--</v>
          </cell>
          <cell r="Q148" t="str">
            <v>--</v>
          </cell>
          <cell r="R148" t="str">
            <v>--</v>
          </cell>
          <cell r="S148" t="str">
            <v>--</v>
          </cell>
          <cell r="T148" t="str">
            <v>--</v>
          </cell>
          <cell r="U148" t="str">
            <v>--</v>
          </cell>
          <cell r="V148" t="str">
            <v>--</v>
          </cell>
          <cell r="W148" t="str">
            <v>--</v>
          </cell>
          <cell r="X148" t="str">
            <v>--</v>
          </cell>
          <cell r="Y148" t="str">
            <v>--</v>
          </cell>
          <cell r="Z148" t="str">
            <v>--</v>
          </cell>
          <cell r="AA148" t="str">
            <v>--</v>
          </cell>
          <cell r="AB148" t="str">
            <v>--</v>
          </cell>
          <cell r="AC148" t="str">
            <v>--</v>
          </cell>
          <cell r="AD148" t="str">
            <v>--</v>
          </cell>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t="str">
            <v>--</v>
          </cell>
          <cell r="BF148" t="str">
            <v>--</v>
          </cell>
          <cell r="BG148" t="str">
            <v>--</v>
          </cell>
          <cell r="BH148" t="str">
            <v>--</v>
          </cell>
          <cell r="BI148" t="str">
            <v>--</v>
          </cell>
          <cell r="BJ148" t="str">
            <v>--</v>
          </cell>
          <cell r="BK148" t="str">
            <v>--</v>
          </cell>
          <cell r="BL148" t="str">
            <v>--</v>
          </cell>
          <cell r="BM148" t="str">
            <v>--</v>
          </cell>
          <cell r="BN148" t="str">
            <v>--</v>
          </cell>
          <cell r="BO148" t="str">
            <v>--</v>
          </cell>
          <cell r="BP148" t="str">
            <v>--</v>
          </cell>
          <cell r="BQ148" t="str">
            <v>--</v>
          </cell>
          <cell r="BR148" t="str">
            <v>--</v>
          </cell>
          <cell r="BS148" t="str">
            <v>--</v>
          </cell>
          <cell r="BT148" t="str">
            <v>--</v>
          </cell>
          <cell r="BU148" t="str">
            <v>--</v>
          </cell>
          <cell r="BV148" t="str">
            <v>--</v>
          </cell>
          <cell r="BW148" t="str">
            <v>--</v>
          </cell>
          <cell r="BX148" t="str">
            <v>--</v>
          </cell>
          <cell r="BY148" t="str">
            <v>--</v>
          </cell>
          <cell r="BZ148" t="str">
            <v>--</v>
          </cell>
          <cell r="CA148" t="str">
            <v>--</v>
          </cell>
          <cell r="CB148" t="str">
            <v>--</v>
          </cell>
          <cell r="CC148" t="str">
            <v>--</v>
          </cell>
          <cell r="CD148" t="str">
            <v>--</v>
          </cell>
          <cell r="CE148" t="str">
            <v>--</v>
          </cell>
          <cell r="CF148" t="str">
            <v>--</v>
          </cell>
          <cell r="CG148" t="str">
            <v>--</v>
          </cell>
          <cell r="CH148" t="str">
            <v>--</v>
          </cell>
          <cell r="CI148" t="str">
            <v>--</v>
          </cell>
          <cell r="CJ148" t="str">
            <v>--</v>
          </cell>
          <cell r="CK148" t="str">
            <v>--</v>
          </cell>
          <cell r="CL148" t="str">
            <v>--</v>
          </cell>
          <cell r="CM148" t="str">
            <v>--</v>
          </cell>
          <cell r="CN148" t="str">
            <v>--</v>
          </cell>
          <cell r="CO148" t="str">
            <v>--</v>
          </cell>
          <cell r="CP148" t="str">
            <v>--</v>
          </cell>
          <cell r="CQ148" t="str">
            <v>--</v>
          </cell>
          <cell r="CR148" t="str">
            <v>--</v>
          </cell>
          <cell r="CS148" t="str">
            <v>--</v>
          </cell>
          <cell r="CT148" t="str">
            <v>--</v>
          </cell>
          <cell r="CU148" t="str">
            <v>--</v>
          </cell>
          <cell r="CV148" t="str">
            <v>--</v>
          </cell>
          <cell r="CW148" t="str">
            <v>--</v>
          </cell>
          <cell r="CX148" t="str">
            <v>--</v>
          </cell>
          <cell r="CY148" t="str">
            <v>--</v>
          </cell>
          <cell r="CZ148" t="str">
            <v>--</v>
          </cell>
          <cell r="DA148" t="str">
            <v>--</v>
          </cell>
          <cell r="DB148" t="str">
            <v>--</v>
          </cell>
          <cell r="DC148" t="str">
            <v>--</v>
          </cell>
          <cell r="DD148" t="str">
            <v>--</v>
          </cell>
          <cell r="DE148" t="str">
            <v>--</v>
          </cell>
          <cell r="DF148" t="str">
            <v>--</v>
          </cell>
          <cell r="DG148" t="str">
            <v>--</v>
          </cell>
          <cell r="DH148" t="str">
            <v>--</v>
          </cell>
          <cell r="DI148" t="str">
            <v>--</v>
          </cell>
          <cell r="DJ148" t="str">
            <v>--</v>
          </cell>
          <cell r="DK148" t="str">
            <v>--</v>
          </cell>
          <cell r="DL148" t="str">
            <v>--</v>
          </cell>
          <cell r="DM148" t="str">
            <v>--</v>
          </cell>
          <cell r="DN148" t="str">
            <v>--</v>
          </cell>
          <cell r="DO148" t="str">
            <v>--</v>
          </cell>
          <cell r="DP148" t="str">
            <v>--</v>
          </cell>
          <cell r="DQ148" t="str">
            <v>--</v>
          </cell>
          <cell r="DR148" t="str">
            <v>--</v>
          </cell>
          <cell r="DS148" t="str">
            <v>--</v>
          </cell>
          <cell r="DT148" t="str">
            <v>--</v>
          </cell>
          <cell r="DU148" t="str">
            <v>--</v>
          </cell>
          <cell r="DV148" t="str">
            <v>--</v>
          </cell>
          <cell r="DW148" t="str">
            <v>--</v>
          </cell>
          <cell r="DX148" t="str">
            <v>--</v>
          </cell>
          <cell r="DY148" t="str">
            <v>--</v>
          </cell>
          <cell r="DZ148" t="str">
            <v>--</v>
          </cell>
          <cell r="EA148" t="str">
            <v>--</v>
          </cell>
          <cell r="EB148" t="str">
            <v>--</v>
          </cell>
          <cell r="EC148" t="str">
            <v>--</v>
          </cell>
          <cell r="ED148" t="str">
            <v>--</v>
          </cell>
          <cell r="EE148" t="str">
            <v>--</v>
          </cell>
          <cell r="EF148" t="str">
            <v>--</v>
          </cell>
          <cell r="EG148" t="str">
            <v>--</v>
          </cell>
        </row>
        <row r="149">
          <cell r="A149" t="str">
            <v>01490009White</v>
          </cell>
          <cell r="B149" t="str">
            <v>01490009C</v>
          </cell>
          <cell r="C149" t="str">
            <v>0149</v>
          </cell>
          <cell r="D149" t="str">
            <v>01490009</v>
          </cell>
          <cell r="E149" t="str">
            <v>Lawrence</v>
          </cell>
          <cell r="F149" t="str">
            <v>Community Day Arlington</v>
          </cell>
          <cell r="G149" t="str">
            <v>EES</v>
          </cell>
          <cell r="H149" t="str">
            <v>Lawrence - Community Day Arlington (01490009)</v>
          </cell>
          <cell r="I149" t="str">
            <v>White</v>
          </cell>
          <cell r="J149" t="str">
            <v>01490009White</v>
          </cell>
          <cell r="K149" t="str">
            <v>--</v>
          </cell>
          <cell r="L149" t="str">
            <v>--</v>
          </cell>
          <cell r="M149" t="str">
            <v>--</v>
          </cell>
          <cell r="N149" t="str">
            <v>--</v>
          </cell>
          <cell r="O149" t="str">
            <v>--</v>
          </cell>
          <cell r="P149" t="str">
            <v>--</v>
          </cell>
          <cell r="Q149" t="str">
            <v>--</v>
          </cell>
          <cell r="R149" t="str">
            <v>--</v>
          </cell>
          <cell r="S149" t="str">
            <v>--</v>
          </cell>
          <cell r="T149" t="str">
            <v>--</v>
          </cell>
          <cell r="U149" t="str">
            <v>--</v>
          </cell>
          <cell r="V149" t="str">
            <v>--</v>
          </cell>
          <cell r="W149" t="str">
            <v>--</v>
          </cell>
          <cell r="X149" t="str">
            <v>--</v>
          </cell>
          <cell r="Y149" t="str">
            <v>--</v>
          </cell>
          <cell r="Z149" t="str">
            <v>--</v>
          </cell>
          <cell r="AA149" t="str">
            <v>--</v>
          </cell>
          <cell r="AB149" t="str">
            <v>--</v>
          </cell>
          <cell r="AC149" t="str">
            <v>--</v>
          </cell>
          <cell r="AD149" t="str">
            <v>--</v>
          </cell>
          <cell r="AE149" t="str">
            <v>--</v>
          </cell>
          <cell r="AF149" t="str">
            <v>--</v>
          </cell>
          <cell r="AG149" t="str">
            <v>--</v>
          </cell>
          <cell r="AH149" t="str">
            <v>--</v>
          </cell>
          <cell r="AI149" t="str">
            <v>--</v>
          </cell>
          <cell r="AJ149" t="str">
            <v>--</v>
          </cell>
          <cell r="AK149" t="str">
            <v>--</v>
          </cell>
          <cell r="AL149" t="str">
            <v>--</v>
          </cell>
          <cell r="AM149" t="str">
            <v>--</v>
          </cell>
          <cell r="AN149" t="str">
            <v>--</v>
          </cell>
          <cell r="AO149" t="str">
            <v>--</v>
          </cell>
          <cell r="AP149" t="str">
            <v>--</v>
          </cell>
          <cell r="AQ149" t="str">
            <v>--</v>
          </cell>
          <cell r="AR149" t="str">
            <v>--</v>
          </cell>
          <cell r="AS149" t="str">
            <v>--</v>
          </cell>
          <cell r="AT149" t="str">
            <v>--</v>
          </cell>
          <cell r="AU149" t="str">
            <v>--</v>
          </cell>
          <cell r="AV149" t="str">
            <v>--</v>
          </cell>
          <cell r="AW149" t="str">
            <v>--</v>
          </cell>
          <cell r="AX149" t="str">
            <v>--</v>
          </cell>
          <cell r="AY149" t="str">
            <v>--</v>
          </cell>
          <cell r="AZ149" t="str">
            <v>--</v>
          </cell>
          <cell r="BA149" t="str">
            <v>--</v>
          </cell>
          <cell r="BB149" t="str">
            <v>--</v>
          </cell>
          <cell r="BC149" t="str">
            <v>--</v>
          </cell>
          <cell r="BD149" t="str">
            <v>--</v>
          </cell>
          <cell r="BE149" t="str">
            <v>--</v>
          </cell>
          <cell r="BF149" t="str">
            <v>--</v>
          </cell>
          <cell r="BG149" t="str">
            <v>--</v>
          </cell>
          <cell r="BH149" t="str">
            <v>--</v>
          </cell>
          <cell r="BI149" t="str">
            <v>--</v>
          </cell>
          <cell r="BJ149" t="str">
            <v>--</v>
          </cell>
          <cell r="BK149" t="str">
            <v>--</v>
          </cell>
          <cell r="BL149" t="str">
            <v>--</v>
          </cell>
          <cell r="BM149" t="str">
            <v>--</v>
          </cell>
          <cell r="BN149" t="str">
            <v>--</v>
          </cell>
          <cell r="BO149" t="str">
            <v>--</v>
          </cell>
          <cell r="BP149" t="str">
            <v>--</v>
          </cell>
          <cell r="BQ149" t="str">
            <v>--</v>
          </cell>
          <cell r="BR149" t="str">
            <v>--</v>
          </cell>
          <cell r="BS149" t="str">
            <v>--</v>
          </cell>
          <cell r="BT149" t="str">
            <v>--</v>
          </cell>
          <cell r="BU149" t="str">
            <v>--</v>
          </cell>
          <cell r="BV149" t="str">
            <v>--</v>
          </cell>
          <cell r="BW149" t="str">
            <v>--</v>
          </cell>
          <cell r="BX149" t="str">
            <v>--</v>
          </cell>
          <cell r="BY149" t="str">
            <v>--</v>
          </cell>
          <cell r="BZ149" t="str">
            <v>--</v>
          </cell>
          <cell r="CA149" t="str">
            <v>--</v>
          </cell>
          <cell r="CB149" t="str">
            <v>--</v>
          </cell>
          <cell r="CC149" t="str">
            <v>--</v>
          </cell>
          <cell r="CD149" t="str">
            <v>--</v>
          </cell>
          <cell r="CE149" t="str">
            <v>--</v>
          </cell>
          <cell r="CF149" t="str">
            <v>--</v>
          </cell>
          <cell r="CG149" t="str">
            <v>--</v>
          </cell>
          <cell r="CH149" t="str">
            <v>--</v>
          </cell>
          <cell r="CI149" t="str">
            <v>--</v>
          </cell>
          <cell r="CJ149" t="str">
            <v>--</v>
          </cell>
          <cell r="CK149" t="str">
            <v>--</v>
          </cell>
          <cell r="CL149" t="str">
            <v>--</v>
          </cell>
          <cell r="CM149" t="str">
            <v>--</v>
          </cell>
          <cell r="CN149" t="str">
            <v>--</v>
          </cell>
          <cell r="CO149" t="str">
            <v>--</v>
          </cell>
          <cell r="CP149" t="str">
            <v>--</v>
          </cell>
          <cell r="CQ149" t="str">
            <v>--</v>
          </cell>
          <cell r="CR149" t="str">
            <v>--</v>
          </cell>
          <cell r="CS149" t="str">
            <v>--</v>
          </cell>
          <cell r="CT149" t="str">
            <v>--</v>
          </cell>
          <cell r="CU149" t="str">
            <v>--</v>
          </cell>
          <cell r="CV149" t="str">
            <v>--</v>
          </cell>
          <cell r="CW149" t="str">
            <v>--</v>
          </cell>
          <cell r="CX149" t="str">
            <v>--</v>
          </cell>
          <cell r="CY149" t="str">
            <v>--</v>
          </cell>
          <cell r="CZ149" t="str">
            <v>--</v>
          </cell>
          <cell r="DA149" t="str">
            <v>--</v>
          </cell>
          <cell r="DB149" t="str">
            <v>--</v>
          </cell>
          <cell r="DC149" t="str">
            <v>--</v>
          </cell>
          <cell r="DD149" t="str">
            <v>--</v>
          </cell>
          <cell r="DE149" t="str">
            <v>--</v>
          </cell>
          <cell r="DF149" t="str">
            <v>--</v>
          </cell>
          <cell r="DG149" t="str">
            <v>--</v>
          </cell>
          <cell r="DH149" t="str">
            <v>--</v>
          </cell>
          <cell r="DI149" t="str">
            <v>--</v>
          </cell>
          <cell r="DJ149" t="str">
            <v>--</v>
          </cell>
          <cell r="DK149" t="str">
            <v>--</v>
          </cell>
          <cell r="DL149" t="str">
            <v>--</v>
          </cell>
          <cell r="DM149" t="str">
            <v>--</v>
          </cell>
          <cell r="DN149" t="str">
            <v>--</v>
          </cell>
          <cell r="DO149" t="str">
            <v>--</v>
          </cell>
          <cell r="DP149" t="str">
            <v>--</v>
          </cell>
          <cell r="DQ149" t="str">
            <v>--</v>
          </cell>
          <cell r="DR149" t="str">
            <v>--</v>
          </cell>
          <cell r="DS149" t="str">
            <v>--</v>
          </cell>
          <cell r="DT149" t="str">
            <v>--</v>
          </cell>
          <cell r="DU149" t="str">
            <v>--</v>
          </cell>
          <cell r="DV149" t="str">
            <v>--</v>
          </cell>
          <cell r="DW149" t="str">
            <v>--</v>
          </cell>
          <cell r="DX149" t="str">
            <v>--</v>
          </cell>
          <cell r="DY149" t="str">
            <v>--</v>
          </cell>
          <cell r="DZ149" t="str">
            <v>--</v>
          </cell>
          <cell r="EA149" t="str">
            <v>--</v>
          </cell>
          <cell r="EB149" t="str">
            <v>--</v>
          </cell>
          <cell r="EC149" t="str">
            <v>--</v>
          </cell>
          <cell r="ED149" t="str">
            <v>--</v>
          </cell>
          <cell r="EE149" t="str">
            <v>--</v>
          </cell>
          <cell r="EF149" t="str">
            <v>--</v>
          </cell>
          <cell r="EG149" t="str">
            <v>--</v>
          </cell>
        </row>
        <row r="150">
          <cell r="A150" t="str">
            <v>01490009Students w/disabilities</v>
          </cell>
          <cell r="B150" t="str">
            <v>01490009D</v>
          </cell>
          <cell r="C150" t="str">
            <v>0149</v>
          </cell>
          <cell r="D150" t="str">
            <v>01490009</v>
          </cell>
          <cell r="E150" t="str">
            <v>Lawrence</v>
          </cell>
          <cell r="F150" t="str">
            <v>Community Day Arlington</v>
          </cell>
          <cell r="G150" t="str">
            <v>EES</v>
          </cell>
          <cell r="H150" t="str">
            <v>Lawrence - Community Day Arlington (01490009)</v>
          </cell>
          <cell r="I150" t="str">
            <v>Students w/disabilities</v>
          </cell>
          <cell r="J150" t="str">
            <v>01490009Students w/disabilities</v>
          </cell>
          <cell r="K150" t="str">
            <v>--</v>
          </cell>
          <cell r="L150">
            <v>37.5</v>
          </cell>
          <cell r="M150">
            <v>42.7</v>
          </cell>
          <cell r="N150">
            <v>35</v>
          </cell>
          <cell r="O150">
            <v>47.9</v>
          </cell>
          <cell r="P150">
            <v>35.299999999999997</v>
          </cell>
          <cell r="Q150">
            <v>53.1</v>
          </cell>
          <cell r="R150">
            <v>58.3</v>
          </cell>
          <cell r="S150">
            <v>63.5</v>
          </cell>
          <cell r="T150">
            <v>68.8</v>
          </cell>
          <cell r="U150">
            <v>37.5</v>
          </cell>
          <cell r="V150">
            <v>42.7</v>
          </cell>
          <cell r="W150">
            <v>40.799999999999997</v>
          </cell>
          <cell r="X150">
            <v>47.9</v>
          </cell>
          <cell r="Y150">
            <v>50</v>
          </cell>
          <cell r="Z150">
            <v>53.1</v>
          </cell>
          <cell r="AA150">
            <v>58.3</v>
          </cell>
          <cell r="AB150">
            <v>63.5</v>
          </cell>
          <cell r="AC150">
            <v>68.8</v>
          </cell>
          <cell r="AD150" t="str">
            <v>--</v>
          </cell>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t="str">
            <v>--</v>
          </cell>
          <cell r="AQ150" t="str">
            <v>--</v>
          </cell>
          <cell r="AR150" t="str">
            <v>--</v>
          </cell>
          <cell r="AS150" t="str">
            <v>--</v>
          </cell>
          <cell r="AT150" t="str">
            <v>--</v>
          </cell>
          <cell r="AU150" t="str">
            <v>--</v>
          </cell>
          <cell r="AV150" t="str">
            <v>--</v>
          </cell>
          <cell r="AW150" t="str">
            <v>--</v>
          </cell>
          <cell r="AX150" t="str">
            <v>--</v>
          </cell>
          <cell r="AY150" t="str">
            <v>--</v>
          </cell>
          <cell r="AZ150" t="str">
            <v>--</v>
          </cell>
          <cell r="BA150" t="str">
            <v>--</v>
          </cell>
          <cell r="BB150" t="str">
            <v>--</v>
          </cell>
          <cell r="BC150" t="str">
            <v>--</v>
          </cell>
          <cell r="BD150" t="str">
            <v>--</v>
          </cell>
          <cell r="BE150" t="str">
            <v>--</v>
          </cell>
          <cell r="BF150" t="str">
            <v>--</v>
          </cell>
          <cell r="BG150" t="str">
            <v>--</v>
          </cell>
          <cell r="BH150" t="str">
            <v>--</v>
          </cell>
          <cell r="BI150" t="str">
            <v>--</v>
          </cell>
          <cell r="BJ150" t="str">
            <v>--</v>
          </cell>
          <cell r="BK150" t="str">
            <v>--</v>
          </cell>
          <cell r="BL150" t="str">
            <v>--</v>
          </cell>
          <cell r="BM150" t="str">
            <v>--</v>
          </cell>
          <cell r="BN150" t="str">
            <v>--</v>
          </cell>
          <cell r="BO150" t="str">
            <v>--</v>
          </cell>
          <cell r="BP150" t="str">
            <v>--</v>
          </cell>
          <cell r="BQ150" t="str">
            <v>--</v>
          </cell>
          <cell r="BR150" t="str">
            <v>--</v>
          </cell>
          <cell r="BS150" t="str">
            <v>--</v>
          </cell>
          <cell r="BT150" t="str">
            <v>--</v>
          </cell>
          <cell r="BU150" t="str">
            <v>--</v>
          </cell>
          <cell r="BV150" t="str">
            <v>--</v>
          </cell>
          <cell r="BW150" t="str">
            <v>--</v>
          </cell>
          <cell r="BX150" t="str">
            <v>--</v>
          </cell>
          <cell r="BY150" t="str">
            <v>--</v>
          </cell>
          <cell r="BZ150" t="str">
            <v>--</v>
          </cell>
          <cell r="CA150" t="str">
            <v>--</v>
          </cell>
          <cell r="CB150" t="str">
            <v>--</v>
          </cell>
          <cell r="CC150" t="str">
            <v>--</v>
          </cell>
          <cell r="CD150" t="str">
            <v>--</v>
          </cell>
          <cell r="CE150" t="str">
            <v>--</v>
          </cell>
          <cell r="CF150">
            <v>57.1</v>
          </cell>
          <cell r="CG150">
            <v>51.4</v>
          </cell>
          <cell r="CH150">
            <v>66.7</v>
          </cell>
          <cell r="CI150">
            <v>60</v>
          </cell>
          <cell r="CJ150">
            <v>69.2</v>
          </cell>
          <cell r="CK150">
            <v>62.3</v>
          </cell>
          <cell r="CL150">
            <v>56.1</v>
          </cell>
          <cell r="CM150">
            <v>50.4</v>
          </cell>
          <cell r="CN150">
            <v>45.4</v>
          </cell>
          <cell r="CO150">
            <v>64.3</v>
          </cell>
          <cell r="CP150">
            <v>57.9</v>
          </cell>
          <cell r="CQ150">
            <v>56.7</v>
          </cell>
          <cell r="CR150">
            <v>51</v>
          </cell>
          <cell r="CS150">
            <v>43.6</v>
          </cell>
          <cell r="CT150">
            <v>39.200000000000003</v>
          </cell>
          <cell r="CU150">
            <v>35.299999999999997</v>
          </cell>
          <cell r="CV150">
            <v>31.8</v>
          </cell>
          <cell r="CW150">
            <v>28.6</v>
          </cell>
          <cell r="CX150" t="str">
            <v>--</v>
          </cell>
          <cell r="CY150" t="str">
            <v>--</v>
          </cell>
          <cell r="CZ150" t="str">
            <v>--</v>
          </cell>
          <cell r="DA150" t="str">
            <v>--</v>
          </cell>
          <cell r="DB150" t="str">
            <v>--</v>
          </cell>
          <cell r="DC150" t="str">
            <v>--</v>
          </cell>
          <cell r="DD150" t="str">
            <v>--</v>
          </cell>
          <cell r="DE150" t="str">
            <v>--</v>
          </cell>
          <cell r="DF150" t="str">
            <v>--</v>
          </cell>
          <cell r="DG150">
            <v>0</v>
          </cell>
          <cell r="DH150">
            <v>1</v>
          </cell>
          <cell r="DI150">
            <v>0</v>
          </cell>
          <cell r="DJ150">
            <v>1</v>
          </cell>
          <cell r="DK150">
            <v>2.6</v>
          </cell>
          <cell r="DL150">
            <v>2.9</v>
          </cell>
          <cell r="DM150">
            <v>3.1</v>
          </cell>
          <cell r="DN150">
            <v>3.5</v>
          </cell>
          <cell r="DO150">
            <v>3.8</v>
          </cell>
          <cell r="DP150">
            <v>0</v>
          </cell>
          <cell r="DQ150">
            <v>1</v>
          </cell>
          <cell r="DR150">
            <v>0</v>
          </cell>
          <cell r="DS150">
            <v>1</v>
          </cell>
          <cell r="DT150">
            <v>2.6</v>
          </cell>
          <cell r="DU150">
            <v>2.9</v>
          </cell>
          <cell r="DV150">
            <v>3.1</v>
          </cell>
          <cell r="DW150">
            <v>3.5</v>
          </cell>
          <cell r="DX150">
            <v>3.8</v>
          </cell>
          <cell r="DY150" t="str">
            <v>--</v>
          </cell>
          <cell r="DZ150" t="str">
            <v>--</v>
          </cell>
          <cell r="EA150" t="str">
            <v>--</v>
          </cell>
          <cell r="EB150" t="str">
            <v>--</v>
          </cell>
          <cell r="EC150" t="str">
            <v>--</v>
          </cell>
          <cell r="ED150" t="str">
            <v>--</v>
          </cell>
          <cell r="EE150" t="str">
            <v>--</v>
          </cell>
          <cell r="EF150" t="str">
            <v>--</v>
          </cell>
          <cell r="EG150" t="str">
            <v>--</v>
          </cell>
        </row>
        <row r="151">
          <cell r="A151" t="str">
            <v>01490009Low income</v>
          </cell>
          <cell r="B151" t="str">
            <v>01490009F</v>
          </cell>
          <cell r="C151" t="str">
            <v>0149</v>
          </cell>
          <cell r="D151" t="str">
            <v>01490009</v>
          </cell>
          <cell r="E151" t="str">
            <v>Lawrence</v>
          </cell>
          <cell r="F151" t="str">
            <v>Community Day Arlington</v>
          </cell>
          <cell r="G151" t="str">
            <v>EES</v>
          </cell>
          <cell r="H151" t="str">
            <v>Lawrence - Community Day Arlington (01490009)</v>
          </cell>
          <cell r="I151" t="str">
            <v>Low income</v>
          </cell>
          <cell r="J151" t="str">
            <v>01490009Low income</v>
          </cell>
          <cell r="K151" t="str">
            <v>--</v>
          </cell>
          <cell r="L151">
            <v>61.7</v>
          </cell>
          <cell r="M151">
            <v>64.900000000000006</v>
          </cell>
          <cell r="N151">
            <v>58.1</v>
          </cell>
          <cell r="O151">
            <v>68.099999999999994</v>
          </cell>
          <cell r="P151">
            <v>55</v>
          </cell>
          <cell r="Q151">
            <v>71.3</v>
          </cell>
          <cell r="R151">
            <v>74.5</v>
          </cell>
          <cell r="S151">
            <v>77.7</v>
          </cell>
          <cell r="T151">
            <v>80.900000000000006</v>
          </cell>
          <cell r="U151">
            <v>62</v>
          </cell>
          <cell r="V151">
            <v>65.2</v>
          </cell>
          <cell r="W151">
            <v>56.3</v>
          </cell>
          <cell r="X151">
            <v>68.3</v>
          </cell>
          <cell r="Y151">
            <v>67.7</v>
          </cell>
          <cell r="Z151">
            <v>71.5</v>
          </cell>
          <cell r="AA151">
            <v>74.7</v>
          </cell>
          <cell r="AB151">
            <v>77.8</v>
          </cell>
          <cell r="AC151">
            <v>81</v>
          </cell>
          <cell r="AD151" t="str">
            <v>--</v>
          </cell>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t="str">
            <v>--</v>
          </cell>
          <cell r="AQ151" t="str">
            <v>--</v>
          </cell>
          <cell r="AR151" t="str">
            <v>--</v>
          </cell>
          <cell r="AS151" t="str">
            <v>--</v>
          </cell>
          <cell r="AT151" t="str">
            <v>--</v>
          </cell>
          <cell r="AU151" t="str">
            <v>--</v>
          </cell>
          <cell r="AV151" t="str">
            <v>--</v>
          </cell>
          <cell r="AW151" t="str">
            <v>--</v>
          </cell>
          <cell r="AX151" t="str">
            <v>--</v>
          </cell>
          <cell r="AY151" t="str">
            <v>--</v>
          </cell>
          <cell r="AZ151" t="str">
            <v>--</v>
          </cell>
          <cell r="BA151" t="str">
            <v>--</v>
          </cell>
          <cell r="BB151" t="str">
            <v>--</v>
          </cell>
          <cell r="BC151" t="str">
            <v>--</v>
          </cell>
          <cell r="BD151" t="str">
            <v>--</v>
          </cell>
          <cell r="BE151" t="str">
            <v>--</v>
          </cell>
          <cell r="BF151" t="str">
            <v>--</v>
          </cell>
          <cell r="BG151" t="str">
            <v>--</v>
          </cell>
          <cell r="BH151" t="str">
            <v>--</v>
          </cell>
          <cell r="BI151" t="str">
            <v>--</v>
          </cell>
          <cell r="BJ151" t="str">
            <v>--</v>
          </cell>
          <cell r="BK151" t="str">
            <v>--</v>
          </cell>
          <cell r="BL151" t="str">
            <v>--</v>
          </cell>
          <cell r="BM151" t="str">
            <v>--</v>
          </cell>
          <cell r="BN151">
            <v>39</v>
          </cell>
          <cell r="BO151">
            <v>49</v>
          </cell>
          <cell r="BP151">
            <v>32</v>
          </cell>
          <cell r="BQ151">
            <v>42</v>
          </cell>
          <cell r="BR151">
            <v>34</v>
          </cell>
          <cell r="BS151">
            <v>44</v>
          </cell>
          <cell r="BT151">
            <v>51</v>
          </cell>
          <cell r="BU151">
            <v>51</v>
          </cell>
          <cell r="BV151">
            <v>51</v>
          </cell>
          <cell r="BW151">
            <v>44.5</v>
          </cell>
          <cell r="BX151">
            <v>51</v>
          </cell>
          <cell r="BY151">
            <v>34.5</v>
          </cell>
          <cell r="BZ151">
            <v>44.5</v>
          </cell>
          <cell r="CA151">
            <v>75</v>
          </cell>
          <cell r="CB151">
            <v>51</v>
          </cell>
          <cell r="CC151">
            <v>51</v>
          </cell>
          <cell r="CD151">
            <v>51</v>
          </cell>
          <cell r="CE151">
            <v>51</v>
          </cell>
          <cell r="CF151">
            <v>19.7</v>
          </cell>
          <cell r="CG151">
            <v>17.7</v>
          </cell>
          <cell r="CH151">
            <v>32.4</v>
          </cell>
          <cell r="CI151">
            <v>29.2</v>
          </cell>
          <cell r="CJ151">
            <v>33.700000000000003</v>
          </cell>
          <cell r="CK151">
            <v>30.3</v>
          </cell>
          <cell r="CL151">
            <v>27.3</v>
          </cell>
          <cell r="CM151">
            <v>24.6</v>
          </cell>
          <cell r="CN151">
            <v>22.1</v>
          </cell>
          <cell r="CO151">
            <v>25.8</v>
          </cell>
          <cell r="CP151">
            <v>23.2</v>
          </cell>
          <cell r="CQ151">
            <v>31.4</v>
          </cell>
          <cell r="CR151">
            <v>28.3</v>
          </cell>
          <cell r="CS151">
            <v>19.8</v>
          </cell>
          <cell r="CT151">
            <v>17.8</v>
          </cell>
          <cell r="CU151">
            <v>16</v>
          </cell>
          <cell r="CV151">
            <v>14.4</v>
          </cell>
          <cell r="CW151">
            <v>13</v>
          </cell>
          <cell r="CX151" t="str">
            <v>--</v>
          </cell>
          <cell r="CY151" t="str">
            <v>--</v>
          </cell>
          <cell r="CZ151" t="str">
            <v>--</v>
          </cell>
          <cell r="DA151" t="str">
            <v>--</v>
          </cell>
          <cell r="DB151" t="str">
            <v>--</v>
          </cell>
          <cell r="DC151" t="str">
            <v>--</v>
          </cell>
          <cell r="DD151" t="str">
            <v>--</v>
          </cell>
          <cell r="DE151" t="str">
            <v>--</v>
          </cell>
          <cell r="DF151" t="str">
            <v>--</v>
          </cell>
          <cell r="DG151">
            <v>1.5</v>
          </cell>
          <cell r="DH151">
            <v>1.7</v>
          </cell>
          <cell r="DI151">
            <v>3.2</v>
          </cell>
          <cell r="DJ151">
            <v>3.5</v>
          </cell>
          <cell r="DK151">
            <v>0.5</v>
          </cell>
          <cell r="DL151">
            <v>0.6</v>
          </cell>
          <cell r="DM151">
            <v>0.6</v>
          </cell>
          <cell r="DN151">
            <v>0.7</v>
          </cell>
          <cell r="DO151">
            <v>0.7</v>
          </cell>
          <cell r="DP151">
            <v>2</v>
          </cell>
          <cell r="DQ151">
            <v>2.2000000000000002</v>
          </cell>
          <cell r="DR151">
            <v>2.6</v>
          </cell>
          <cell r="DS151">
            <v>2.9</v>
          </cell>
          <cell r="DT151">
            <v>10.4</v>
          </cell>
          <cell r="DU151">
            <v>11.4</v>
          </cell>
          <cell r="DV151">
            <v>12.6</v>
          </cell>
          <cell r="DW151">
            <v>13.8</v>
          </cell>
          <cell r="DX151">
            <v>15.2</v>
          </cell>
          <cell r="DY151" t="str">
            <v>--</v>
          </cell>
          <cell r="DZ151" t="str">
            <v>--</v>
          </cell>
          <cell r="EA151" t="str">
            <v>--</v>
          </cell>
          <cell r="EB151" t="str">
            <v>--</v>
          </cell>
          <cell r="EC151" t="str">
            <v>--</v>
          </cell>
          <cell r="ED151" t="str">
            <v>--</v>
          </cell>
          <cell r="EE151" t="str">
            <v>--</v>
          </cell>
          <cell r="EF151" t="str">
            <v>--</v>
          </cell>
          <cell r="EG151" t="str">
            <v>--</v>
          </cell>
        </row>
        <row r="152">
          <cell r="A152" t="str">
            <v>01490009Hispanic/Latino</v>
          </cell>
          <cell r="B152" t="str">
            <v>01490009H</v>
          </cell>
          <cell r="C152" t="str">
            <v>0149</v>
          </cell>
          <cell r="D152" t="str">
            <v>01490009</v>
          </cell>
          <cell r="E152" t="str">
            <v>Lawrence</v>
          </cell>
          <cell r="F152" t="str">
            <v>Community Day Arlington</v>
          </cell>
          <cell r="G152" t="str">
            <v>EES</v>
          </cell>
          <cell r="H152" t="str">
            <v>Lawrence - Community Day Arlington (01490009)</v>
          </cell>
          <cell r="I152" t="str">
            <v>Hispanic/Latino</v>
          </cell>
          <cell r="J152" t="str">
            <v>01490009Hispanic/Latino</v>
          </cell>
          <cell r="K152" t="str">
            <v>--</v>
          </cell>
          <cell r="L152">
            <v>61.1</v>
          </cell>
          <cell r="M152">
            <v>64.3</v>
          </cell>
          <cell r="N152">
            <v>58.5</v>
          </cell>
          <cell r="O152">
            <v>67.599999999999994</v>
          </cell>
          <cell r="P152">
            <v>55.2</v>
          </cell>
          <cell r="Q152">
            <v>70.8</v>
          </cell>
          <cell r="R152">
            <v>74.099999999999994</v>
          </cell>
          <cell r="S152">
            <v>77.3</v>
          </cell>
          <cell r="T152">
            <v>80.599999999999994</v>
          </cell>
          <cell r="U152">
            <v>61.2</v>
          </cell>
          <cell r="V152">
            <v>64.400000000000006</v>
          </cell>
          <cell r="W152">
            <v>56.2</v>
          </cell>
          <cell r="X152">
            <v>67.7</v>
          </cell>
          <cell r="Y152">
            <v>68.2</v>
          </cell>
          <cell r="Z152">
            <v>70.900000000000006</v>
          </cell>
          <cell r="AA152">
            <v>74.099999999999994</v>
          </cell>
          <cell r="AB152">
            <v>77.400000000000006</v>
          </cell>
          <cell r="AC152">
            <v>80.599999999999994</v>
          </cell>
          <cell r="AD152" t="str">
            <v>--</v>
          </cell>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v>39</v>
          </cell>
          <cell r="BO152">
            <v>49</v>
          </cell>
          <cell r="BP152">
            <v>32</v>
          </cell>
          <cell r="BQ152">
            <v>42</v>
          </cell>
          <cell r="BR152">
            <v>34</v>
          </cell>
          <cell r="BS152">
            <v>44</v>
          </cell>
          <cell r="BT152">
            <v>51</v>
          </cell>
          <cell r="BU152">
            <v>51</v>
          </cell>
          <cell r="BV152">
            <v>51</v>
          </cell>
          <cell r="BW152">
            <v>45</v>
          </cell>
          <cell r="BX152">
            <v>51</v>
          </cell>
          <cell r="BY152">
            <v>35</v>
          </cell>
          <cell r="BZ152">
            <v>45</v>
          </cell>
          <cell r="CA152">
            <v>73</v>
          </cell>
          <cell r="CB152">
            <v>51</v>
          </cell>
          <cell r="CC152">
            <v>51</v>
          </cell>
          <cell r="CD152">
            <v>51</v>
          </cell>
          <cell r="CE152">
            <v>51</v>
          </cell>
          <cell r="CF152">
            <v>21.1</v>
          </cell>
          <cell r="CG152">
            <v>19</v>
          </cell>
          <cell r="CH152">
            <v>31.7</v>
          </cell>
          <cell r="CI152">
            <v>28.5</v>
          </cell>
          <cell r="CJ152">
            <v>33.799999999999997</v>
          </cell>
          <cell r="CK152">
            <v>30.4</v>
          </cell>
          <cell r="CL152">
            <v>27.4</v>
          </cell>
          <cell r="CM152">
            <v>24.6</v>
          </cell>
          <cell r="CN152">
            <v>22.2</v>
          </cell>
          <cell r="CO152">
            <v>26.3</v>
          </cell>
          <cell r="CP152">
            <v>23.7</v>
          </cell>
          <cell r="CQ152">
            <v>31.2</v>
          </cell>
          <cell r="CR152">
            <v>28.1</v>
          </cell>
          <cell r="CS152">
            <v>19.899999999999999</v>
          </cell>
          <cell r="CT152">
            <v>17.899999999999999</v>
          </cell>
          <cell r="CU152">
            <v>16.100000000000001</v>
          </cell>
          <cell r="CV152">
            <v>14.5</v>
          </cell>
          <cell r="CW152">
            <v>13.1</v>
          </cell>
          <cell r="CX152" t="str">
            <v>--</v>
          </cell>
          <cell r="CY152" t="str">
            <v>--</v>
          </cell>
          <cell r="CZ152" t="str">
            <v>--</v>
          </cell>
          <cell r="DA152" t="str">
            <v>--</v>
          </cell>
          <cell r="DB152" t="str">
            <v>--</v>
          </cell>
          <cell r="DC152" t="str">
            <v>--</v>
          </cell>
          <cell r="DD152" t="str">
            <v>--</v>
          </cell>
          <cell r="DE152" t="str">
            <v>--</v>
          </cell>
          <cell r="DF152" t="str">
            <v>--</v>
          </cell>
          <cell r="DG152">
            <v>1.5</v>
          </cell>
          <cell r="DH152">
            <v>1.7</v>
          </cell>
          <cell r="DI152">
            <v>2.7</v>
          </cell>
          <cell r="DJ152">
            <v>3</v>
          </cell>
          <cell r="DK152">
            <v>0.5</v>
          </cell>
          <cell r="DL152">
            <v>0.6</v>
          </cell>
          <cell r="DM152">
            <v>0.6</v>
          </cell>
          <cell r="DN152">
            <v>0.7</v>
          </cell>
          <cell r="DO152">
            <v>0.7</v>
          </cell>
          <cell r="DP152">
            <v>1.5</v>
          </cell>
          <cell r="DQ152">
            <v>1.7</v>
          </cell>
          <cell r="DR152">
            <v>2.6</v>
          </cell>
          <cell r="DS152">
            <v>2.9</v>
          </cell>
          <cell r="DT152">
            <v>10</v>
          </cell>
          <cell r="DU152">
            <v>11</v>
          </cell>
          <cell r="DV152">
            <v>12.1</v>
          </cell>
          <cell r="DW152">
            <v>13.3</v>
          </cell>
          <cell r="DX152">
            <v>14.6</v>
          </cell>
          <cell r="DY152" t="str">
            <v>--</v>
          </cell>
          <cell r="DZ152" t="str">
            <v>--</v>
          </cell>
          <cell r="EA152" t="str">
            <v>--</v>
          </cell>
          <cell r="EB152" t="str">
            <v>--</v>
          </cell>
          <cell r="EC152" t="str">
            <v>--</v>
          </cell>
          <cell r="ED152" t="str">
            <v>--</v>
          </cell>
          <cell r="EE152" t="str">
            <v>--</v>
          </cell>
          <cell r="EF152" t="str">
            <v>--</v>
          </cell>
          <cell r="EG152" t="str">
            <v>--</v>
          </cell>
        </row>
        <row r="153">
          <cell r="A153" t="str">
            <v>01490009ELL and Former ELL</v>
          </cell>
          <cell r="B153" t="str">
            <v>01490009L</v>
          </cell>
          <cell r="C153" t="str">
            <v>0149</v>
          </cell>
          <cell r="D153" t="str">
            <v>01490009</v>
          </cell>
          <cell r="E153" t="str">
            <v>Lawrence</v>
          </cell>
          <cell r="F153" t="str">
            <v>Community Day Arlington</v>
          </cell>
          <cell r="G153" t="str">
            <v>EES</v>
          </cell>
          <cell r="H153" t="str">
            <v>Lawrence - Community Day Arlington (01490009)</v>
          </cell>
          <cell r="I153" t="str">
            <v>ELL and Former ELL</v>
          </cell>
          <cell r="J153" t="str">
            <v>01490009ELL and Former ELL</v>
          </cell>
          <cell r="K153" t="str">
            <v>--</v>
          </cell>
          <cell r="L153">
            <v>59</v>
          </cell>
          <cell r="M153">
            <v>62.4</v>
          </cell>
          <cell r="N153">
            <v>51.9</v>
          </cell>
          <cell r="O153">
            <v>65.8</v>
          </cell>
          <cell r="P153">
            <v>48.4</v>
          </cell>
          <cell r="Q153">
            <v>69.3</v>
          </cell>
          <cell r="R153">
            <v>72.7</v>
          </cell>
          <cell r="S153">
            <v>76.099999999999994</v>
          </cell>
          <cell r="T153">
            <v>79.5</v>
          </cell>
          <cell r="U153">
            <v>59.4</v>
          </cell>
          <cell r="V153">
            <v>62.8</v>
          </cell>
          <cell r="W153">
            <v>51.1</v>
          </cell>
          <cell r="X153">
            <v>66.2</v>
          </cell>
          <cell r="Y153">
            <v>63.5</v>
          </cell>
          <cell r="Z153">
            <v>69.599999999999994</v>
          </cell>
          <cell r="AA153">
            <v>72.900000000000006</v>
          </cell>
          <cell r="AB153">
            <v>76.3</v>
          </cell>
          <cell r="AC153">
            <v>79.7</v>
          </cell>
          <cell r="AD153" t="str">
            <v>--</v>
          </cell>
          <cell r="AE153" t="str">
            <v>--</v>
          </cell>
          <cell r="AF153" t="str">
            <v>--</v>
          </cell>
          <cell r="AG153" t="str">
            <v>--</v>
          </cell>
          <cell r="AH153" t="str">
            <v>--</v>
          </cell>
          <cell r="AI153" t="str">
            <v>--</v>
          </cell>
          <cell r="AJ153" t="str">
            <v>--</v>
          </cell>
          <cell r="AK153" t="str">
            <v>--</v>
          </cell>
          <cell r="AL153" t="str">
            <v>--</v>
          </cell>
          <cell r="AM153" t="str">
            <v>--</v>
          </cell>
          <cell r="AN153" t="str">
            <v>--</v>
          </cell>
          <cell r="AO153" t="str">
            <v>--</v>
          </cell>
          <cell r="AP153" t="str">
            <v>--</v>
          </cell>
          <cell r="AQ153" t="str">
            <v>--</v>
          </cell>
          <cell r="AR153" t="str">
            <v>--</v>
          </cell>
          <cell r="AS153" t="str">
            <v>--</v>
          </cell>
          <cell r="AT153" t="str">
            <v>--</v>
          </cell>
          <cell r="AU153" t="str">
            <v>--</v>
          </cell>
          <cell r="AV153" t="str">
            <v>--</v>
          </cell>
          <cell r="AW153" t="str">
            <v>--</v>
          </cell>
          <cell r="AX153" t="str">
            <v>--</v>
          </cell>
          <cell r="AY153" t="str">
            <v>--</v>
          </cell>
          <cell r="AZ153" t="str">
            <v>--</v>
          </cell>
          <cell r="BA153" t="str">
            <v>--</v>
          </cell>
          <cell r="BB153" t="str">
            <v>--</v>
          </cell>
          <cell r="BC153" t="str">
            <v>--</v>
          </cell>
          <cell r="BD153" t="str">
            <v>--</v>
          </cell>
          <cell r="BE153" t="str">
            <v>--</v>
          </cell>
          <cell r="BF153" t="str">
            <v>--</v>
          </cell>
          <cell r="BG153" t="str">
            <v>--</v>
          </cell>
          <cell r="BH153" t="str">
            <v>--</v>
          </cell>
          <cell r="BI153" t="str">
            <v>--</v>
          </cell>
          <cell r="BJ153" t="str">
            <v>--</v>
          </cell>
          <cell r="BK153" t="str">
            <v>--</v>
          </cell>
          <cell r="BL153" t="str">
            <v>--</v>
          </cell>
          <cell r="BM153" t="str">
            <v>--</v>
          </cell>
          <cell r="BN153">
            <v>47</v>
          </cell>
          <cell r="BO153">
            <v>51</v>
          </cell>
          <cell r="BP153">
            <v>32</v>
          </cell>
          <cell r="BQ153">
            <v>42</v>
          </cell>
          <cell r="BR153">
            <v>33</v>
          </cell>
          <cell r="BS153">
            <v>43</v>
          </cell>
          <cell r="BT153">
            <v>51</v>
          </cell>
          <cell r="BU153">
            <v>51</v>
          </cell>
          <cell r="BV153">
            <v>51</v>
          </cell>
          <cell r="BW153">
            <v>44</v>
          </cell>
          <cell r="BX153">
            <v>51</v>
          </cell>
          <cell r="BY153">
            <v>31</v>
          </cell>
          <cell r="BZ153">
            <v>41</v>
          </cell>
          <cell r="CA153">
            <v>73</v>
          </cell>
          <cell r="CB153">
            <v>51</v>
          </cell>
          <cell r="CC153">
            <v>51</v>
          </cell>
          <cell r="CD153">
            <v>51</v>
          </cell>
          <cell r="CE153">
            <v>51</v>
          </cell>
          <cell r="CF153">
            <v>22.5</v>
          </cell>
          <cell r="CG153">
            <v>20.3</v>
          </cell>
          <cell r="CH153">
            <v>40.6</v>
          </cell>
          <cell r="CI153">
            <v>36.5</v>
          </cell>
          <cell r="CJ153">
            <v>42.1</v>
          </cell>
          <cell r="CK153">
            <v>37.9</v>
          </cell>
          <cell r="CL153">
            <v>34.1</v>
          </cell>
          <cell r="CM153">
            <v>30.7</v>
          </cell>
          <cell r="CN153">
            <v>27.6</v>
          </cell>
          <cell r="CO153">
            <v>27.5</v>
          </cell>
          <cell r="CP153">
            <v>24.8</v>
          </cell>
          <cell r="CQ153">
            <v>39.4</v>
          </cell>
          <cell r="CR153">
            <v>35.5</v>
          </cell>
          <cell r="CS153">
            <v>26.2</v>
          </cell>
          <cell r="CT153">
            <v>23.6</v>
          </cell>
          <cell r="CU153">
            <v>21.2</v>
          </cell>
          <cell r="CV153">
            <v>19.100000000000001</v>
          </cell>
          <cell r="CW153">
            <v>17.2</v>
          </cell>
          <cell r="CX153" t="str">
            <v>--</v>
          </cell>
          <cell r="CY153" t="str">
            <v>--</v>
          </cell>
          <cell r="CZ153" t="str">
            <v>--</v>
          </cell>
          <cell r="DA153" t="str">
            <v>--</v>
          </cell>
          <cell r="DB153" t="str">
            <v>--</v>
          </cell>
          <cell r="DC153" t="str">
            <v>--</v>
          </cell>
          <cell r="DD153" t="str">
            <v>--</v>
          </cell>
          <cell r="DE153" t="str">
            <v>--</v>
          </cell>
          <cell r="DF153" t="str">
            <v>--</v>
          </cell>
          <cell r="DG153">
            <v>0.8</v>
          </cell>
          <cell r="DH153">
            <v>0.9</v>
          </cell>
          <cell r="DI153">
            <v>0.9</v>
          </cell>
          <cell r="DJ153">
            <v>1</v>
          </cell>
          <cell r="DK153">
            <v>0.8</v>
          </cell>
          <cell r="DL153">
            <v>0.9</v>
          </cell>
          <cell r="DM153">
            <v>1</v>
          </cell>
          <cell r="DN153">
            <v>1.1000000000000001</v>
          </cell>
          <cell r="DO153">
            <v>1.2</v>
          </cell>
          <cell r="DP153">
            <v>2.5</v>
          </cell>
          <cell r="DQ153">
            <v>2.8</v>
          </cell>
          <cell r="DR153">
            <v>0.9</v>
          </cell>
          <cell r="DS153">
            <v>1</v>
          </cell>
          <cell r="DT153">
            <v>8.6999999999999993</v>
          </cell>
          <cell r="DU153">
            <v>9.6</v>
          </cell>
          <cell r="DV153">
            <v>10.5</v>
          </cell>
          <cell r="DW153">
            <v>11.6</v>
          </cell>
          <cell r="DX153">
            <v>12.7</v>
          </cell>
          <cell r="DY153" t="str">
            <v>--</v>
          </cell>
          <cell r="DZ153" t="str">
            <v>--</v>
          </cell>
          <cell r="EA153" t="str">
            <v>--</v>
          </cell>
          <cell r="EB153" t="str">
            <v>--</v>
          </cell>
          <cell r="EC153" t="str">
            <v>--</v>
          </cell>
          <cell r="ED153" t="str">
            <v>--</v>
          </cell>
          <cell r="EE153" t="str">
            <v>--</v>
          </cell>
          <cell r="EF153" t="str">
            <v>--</v>
          </cell>
          <cell r="EG153" t="str">
            <v>--</v>
          </cell>
        </row>
        <row r="154">
          <cell r="A154" t="str">
            <v>01490009Multi-race, Non-Hisp./Lat.</v>
          </cell>
          <cell r="B154" t="str">
            <v>01490009M</v>
          </cell>
          <cell r="C154" t="str">
            <v>0149</v>
          </cell>
          <cell r="D154" t="str">
            <v>01490009</v>
          </cell>
          <cell r="E154" t="str">
            <v>Lawrence</v>
          </cell>
          <cell r="F154" t="str">
            <v>Community Day Arlington</v>
          </cell>
          <cell r="G154" t="str">
            <v>EES</v>
          </cell>
          <cell r="H154" t="str">
            <v>Lawrence - Community Day Arlington (01490009)</v>
          </cell>
          <cell r="I154" t="str">
            <v>Multi-race, Non-Hisp./Lat.</v>
          </cell>
          <cell r="J154" t="str">
            <v>01490009Multi-race, Non-Hisp./Lat.</v>
          </cell>
          <cell r="K154" t="str">
            <v>--</v>
          </cell>
          <cell r="L154" t="str">
            <v>--</v>
          </cell>
          <cell r="M154" t="str">
            <v>--</v>
          </cell>
          <cell r="N154" t="str">
            <v>--</v>
          </cell>
          <cell r="O154" t="str">
            <v>--</v>
          </cell>
          <cell r="P154" t="str">
            <v>--</v>
          </cell>
          <cell r="Q154" t="str">
            <v>--</v>
          </cell>
          <cell r="R154" t="str">
            <v>--</v>
          </cell>
          <cell r="S154" t="str">
            <v>--</v>
          </cell>
          <cell r="T154" t="str">
            <v>--</v>
          </cell>
          <cell r="U154" t="str">
            <v>--</v>
          </cell>
          <cell r="V154" t="str">
            <v>--</v>
          </cell>
          <cell r="W154" t="str">
            <v>--</v>
          </cell>
          <cell r="X154" t="str">
            <v>--</v>
          </cell>
          <cell r="Y154" t="str">
            <v>--</v>
          </cell>
          <cell r="Z154" t="str">
            <v>--</v>
          </cell>
          <cell r="AA154" t="str">
            <v>--</v>
          </cell>
          <cell r="AB154" t="str">
            <v>--</v>
          </cell>
          <cell r="AC154" t="str">
            <v>--</v>
          </cell>
          <cell r="AD154" t="str">
            <v>--</v>
          </cell>
          <cell r="AE154" t="str">
            <v>--</v>
          </cell>
          <cell r="AF154" t="str">
            <v>--</v>
          </cell>
          <cell r="AG154" t="str">
            <v>--</v>
          </cell>
          <cell r="AH154" t="str">
            <v>--</v>
          </cell>
          <cell r="AI154" t="str">
            <v>--</v>
          </cell>
          <cell r="AJ154" t="str">
            <v>--</v>
          </cell>
          <cell r="AK154" t="str">
            <v>--</v>
          </cell>
          <cell r="AL154" t="str">
            <v>--</v>
          </cell>
          <cell r="AM154" t="str">
            <v>--</v>
          </cell>
          <cell r="AN154" t="str">
            <v>--</v>
          </cell>
          <cell r="AO154" t="str">
            <v>--</v>
          </cell>
          <cell r="AP154" t="str">
            <v>--</v>
          </cell>
          <cell r="AQ154" t="str">
            <v>--</v>
          </cell>
          <cell r="AR154" t="str">
            <v>--</v>
          </cell>
          <cell r="AS154" t="str">
            <v>--</v>
          </cell>
          <cell r="AT154" t="str">
            <v>--</v>
          </cell>
          <cell r="AU154" t="str">
            <v>--</v>
          </cell>
          <cell r="AV154" t="str">
            <v>--</v>
          </cell>
          <cell r="AW154" t="str">
            <v>--</v>
          </cell>
          <cell r="AX154" t="str">
            <v>--</v>
          </cell>
          <cell r="AY154" t="str">
            <v>--</v>
          </cell>
          <cell r="AZ154" t="str">
            <v>--</v>
          </cell>
          <cell r="BA154" t="str">
            <v>--</v>
          </cell>
          <cell r="BB154" t="str">
            <v>--</v>
          </cell>
          <cell r="BC154" t="str">
            <v>--</v>
          </cell>
          <cell r="BD154" t="str">
            <v>--</v>
          </cell>
          <cell r="BE154" t="str">
            <v>--</v>
          </cell>
          <cell r="BF154" t="str">
            <v>--</v>
          </cell>
          <cell r="BG154" t="str">
            <v>--</v>
          </cell>
          <cell r="BH154" t="str">
            <v>--</v>
          </cell>
          <cell r="BI154" t="str">
            <v>--</v>
          </cell>
          <cell r="BJ154" t="str">
            <v>--</v>
          </cell>
          <cell r="BK154" t="str">
            <v>--</v>
          </cell>
          <cell r="BL154" t="str">
            <v>--</v>
          </cell>
          <cell r="BM154" t="str">
            <v>--</v>
          </cell>
          <cell r="BN154" t="str">
            <v>--</v>
          </cell>
          <cell r="BO154" t="str">
            <v>--</v>
          </cell>
          <cell r="BP154" t="str">
            <v>--</v>
          </cell>
          <cell r="BQ154" t="str">
            <v>--</v>
          </cell>
          <cell r="BR154" t="str">
            <v>--</v>
          </cell>
          <cell r="BS154" t="str">
            <v>--</v>
          </cell>
          <cell r="BT154" t="str">
            <v>--</v>
          </cell>
          <cell r="BU154" t="str">
            <v>--</v>
          </cell>
          <cell r="BV154" t="str">
            <v>--</v>
          </cell>
          <cell r="BW154" t="str">
            <v>--</v>
          </cell>
          <cell r="BX154" t="str">
            <v>--</v>
          </cell>
          <cell r="BY154" t="str">
            <v>--</v>
          </cell>
          <cell r="BZ154" t="str">
            <v>--</v>
          </cell>
          <cell r="CA154" t="str">
            <v>--</v>
          </cell>
          <cell r="CB154" t="str">
            <v>--</v>
          </cell>
          <cell r="CC154" t="str">
            <v>--</v>
          </cell>
          <cell r="CD154" t="str">
            <v>--</v>
          </cell>
          <cell r="CE154" t="str">
            <v>--</v>
          </cell>
          <cell r="CF154" t="str">
            <v>--</v>
          </cell>
          <cell r="CG154" t="str">
            <v>--</v>
          </cell>
          <cell r="CH154" t="str">
            <v>--</v>
          </cell>
          <cell r="CI154" t="str">
            <v>--</v>
          </cell>
          <cell r="CJ154" t="str">
            <v>--</v>
          </cell>
          <cell r="CK154" t="str">
            <v>--</v>
          </cell>
          <cell r="CL154" t="str">
            <v>--</v>
          </cell>
          <cell r="CM154" t="str">
            <v>--</v>
          </cell>
          <cell r="CN154" t="str">
            <v>--</v>
          </cell>
          <cell r="CO154" t="str">
            <v>--</v>
          </cell>
          <cell r="CP154" t="str">
            <v>--</v>
          </cell>
          <cell r="CQ154" t="str">
            <v>--</v>
          </cell>
          <cell r="CR154" t="str">
            <v>--</v>
          </cell>
          <cell r="CS154" t="str">
            <v>--</v>
          </cell>
          <cell r="CT154" t="str">
            <v>--</v>
          </cell>
          <cell r="CU154" t="str">
            <v>--</v>
          </cell>
          <cell r="CV154" t="str">
            <v>--</v>
          </cell>
          <cell r="CW154" t="str">
            <v>--</v>
          </cell>
          <cell r="CX154" t="str">
            <v>--</v>
          </cell>
          <cell r="CY154" t="str">
            <v>--</v>
          </cell>
          <cell r="CZ154" t="str">
            <v>--</v>
          </cell>
          <cell r="DA154" t="str">
            <v>--</v>
          </cell>
          <cell r="DB154" t="str">
            <v>--</v>
          </cell>
          <cell r="DC154" t="str">
            <v>--</v>
          </cell>
          <cell r="DD154" t="str">
            <v>--</v>
          </cell>
          <cell r="DE154" t="str">
            <v>--</v>
          </cell>
          <cell r="DF154" t="str">
            <v>--</v>
          </cell>
          <cell r="DG154" t="str">
            <v>--</v>
          </cell>
          <cell r="DH154" t="str">
            <v>--</v>
          </cell>
          <cell r="DI154" t="str">
            <v>--</v>
          </cell>
          <cell r="DJ154" t="str">
            <v>--</v>
          </cell>
          <cell r="DK154" t="str">
            <v>--</v>
          </cell>
          <cell r="DL154" t="str">
            <v>--</v>
          </cell>
          <cell r="DM154" t="str">
            <v>--</v>
          </cell>
          <cell r="DN154" t="str">
            <v>--</v>
          </cell>
          <cell r="DO154" t="str">
            <v>--</v>
          </cell>
          <cell r="DP154" t="str">
            <v>--</v>
          </cell>
          <cell r="DQ154" t="str">
            <v>--</v>
          </cell>
          <cell r="DR154" t="str">
            <v>--</v>
          </cell>
          <cell r="DS154" t="str">
            <v>--</v>
          </cell>
          <cell r="DT154" t="str">
            <v>--</v>
          </cell>
          <cell r="DU154" t="str">
            <v>--</v>
          </cell>
          <cell r="DV154" t="str">
            <v>--</v>
          </cell>
          <cell r="DW154" t="str">
            <v>--</v>
          </cell>
          <cell r="DX154" t="str">
            <v>--</v>
          </cell>
          <cell r="DY154" t="str">
            <v>--</v>
          </cell>
          <cell r="DZ154" t="str">
            <v>--</v>
          </cell>
          <cell r="EA154" t="str">
            <v>--</v>
          </cell>
          <cell r="EB154" t="str">
            <v>--</v>
          </cell>
          <cell r="EC154" t="str">
            <v>--</v>
          </cell>
          <cell r="ED154" t="str">
            <v>--</v>
          </cell>
          <cell r="EE154" t="str">
            <v>--</v>
          </cell>
          <cell r="EF154" t="str">
            <v>--</v>
          </cell>
          <cell r="EG154" t="str">
            <v>--</v>
          </cell>
        </row>
        <row r="155">
          <cell r="A155" t="str">
            <v>01490009Amer. Ind. or Alaska Nat.</v>
          </cell>
          <cell r="B155" t="str">
            <v>01490009N</v>
          </cell>
          <cell r="C155" t="str">
            <v>0149</v>
          </cell>
          <cell r="D155" t="str">
            <v>01490009</v>
          </cell>
          <cell r="E155" t="str">
            <v>Lawrence</v>
          </cell>
          <cell r="F155" t="str">
            <v>Community Day Arlington</v>
          </cell>
          <cell r="G155" t="str">
            <v>EES</v>
          </cell>
          <cell r="H155" t="str">
            <v>Lawrence - Community Day Arlington (01490009)</v>
          </cell>
          <cell r="I155" t="str">
            <v>Amer. Ind. or Alaska Nat.</v>
          </cell>
          <cell r="J155" t="str">
            <v>01490009Amer. Ind. or Alaska Nat.</v>
          </cell>
          <cell r="K155" t="str">
            <v>--</v>
          </cell>
          <cell r="L155" t="str">
            <v>--</v>
          </cell>
          <cell r="M155" t="str">
            <v>--</v>
          </cell>
          <cell r="N155" t="str">
            <v>--</v>
          </cell>
          <cell r="O155" t="str">
            <v>--</v>
          </cell>
          <cell r="P155" t="str">
            <v>--</v>
          </cell>
          <cell r="Q155" t="str">
            <v>--</v>
          </cell>
          <cell r="R155" t="str">
            <v>--</v>
          </cell>
          <cell r="S155" t="str">
            <v>--</v>
          </cell>
          <cell r="T155" t="str">
            <v>--</v>
          </cell>
          <cell r="U155" t="str">
            <v>--</v>
          </cell>
          <cell r="V155" t="str">
            <v>--</v>
          </cell>
          <cell r="W155" t="str">
            <v>--</v>
          </cell>
          <cell r="X155" t="str">
            <v>--</v>
          </cell>
          <cell r="Y155" t="str">
            <v>--</v>
          </cell>
          <cell r="Z155" t="str">
            <v>--</v>
          </cell>
          <cell r="AA155" t="str">
            <v>--</v>
          </cell>
          <cell r="AB155" t="str">
            <v>--</v>
          </cell>
          <cell r="AC155" t="str">
            <v>--</v>
          </cell>
          <cell r="AD155" t="str">
            <v>--</v>
          </cell>
          <cell r="AE155" t="str">
            <v>--</v>
          </cell>
          <cell r="AF155" t="str">
            <v>--</v>
          </cell>
          <cell r="AG155" t="str">
            <v>--</v>
          </cell>
          <cell r="AH155" t="str">
            <v>--</v>
          </cell>
          <cell r="AI155" t="str">
            <v>--</v>
          </cell>
          <cell r="AJ155" t="str">
            <v>--</v>
          </cell>
          <cell r="AK155" t="str">
            <v>--</v>
          </cell>
          <cell r="AL155" t="str">
            <v>--</v>
          </cell>
          <cell r="AM155" t="str">
            <v>--</v>
          </cell>
          <cell r="AN155" t="str">
            <v>--</v>
          </cell>
          <cell r="AO155" t="str">
            <v>--</v>
          </cell>
          <cell r="AP155" t="str">
            <v>--</v>
          </cell>
          <cell r="AQ155" t="str">
            <v>--</v>
          </cell>
          <cell r="AR155" t="str">
            <v>--</v>
          </cell>
          <cell r="AS155" t="str">
            <v>--</v>
          </cell>
          <cell r="AT155" t="str">
            <v>--</v>
          </cell>
          <cell r="AU155" t="str">
            <v>--</v>
          </cell>
          <cell r="AV155" t="str">
            <v>--</v>
          </cell>
          <cell r="AW155" t="str">
            <v>--</v>
          </cell>
          <cell r="AX155" t="str">
            <v>--</v>
          </cell>
          <cell r="AY155" t="str">
            <v>--</v>
          </cell>
          <cell r="AZ155" t="str">
            <v>--</v>
          </cell>
          <cell r="BA155" t="str">
            <v>--</v>
          </cell>
          <cell r="BB155" t="str">
            <v>--</v>
          </cell>
          <cell r="BC155" t="str">
            <v>--</v>
          </cell>
          <cell r="BD155" t="str">
            <v>--</v>
          </cell>
          <cell r="BE155" t="str">
            <v>--</v>
          </cell>
          <cell r="BF155" t="str">
            <v>--</v>
          </cell>
          <cell r="BG155" t="str">
            <v>--</v>
          </cell>
          <cell r="BH155" t="str">
            <v>--</v>
          </cell>
          <cell r="BI155" t="str">
            <v>--</v>
          </cell>
          <cell r="BJ155" t="str">
            <v>--</v>
          </cell>
          <cell r="BK155" t="str">
            <v>--</v>
          </cell>
          <cell r="BL155" t="str">
            <v>--</v>
          </cell>
          <cell r="BM155" t="str">
            <v>--</v>
          </cell>
          <cell r="BN155" t="str">
            <v>--</v>
          </cell>
          <cell r="BO155" t="str">
            <v>--</v>
          </cell>
          <cell r="BP155" t="str">
            <v>--</v>
          </cell>
          <cell r="BQ155" t="str">
            <v>--</v>
          </cell>
          <cell r="BR155" t="str">
            <v>--</v>
          </cell>
          <cell r="BS155" t="str">
            <v>--</v>
          </cell>
          <cell r="BT155" t="str">
            <v>--</v>
          </cell>
          <cell r="BU155" t="str">
            <v>--</v>
          </cell>
          <cell r="BV155" t="str">
            <v>--</v>
          </cell>
          <cell r="BW155" t="str">
            <v>--</v>
          </cell>
          <cell r="BX155" t="str">
            <v>--</v>
          </cell>
          <cell r="BY155" t="str">
            <v>--</v>
          </cell>
          <cell r="BZ155" t="str">
            <v>--</v>
          </cell>
          <cell r="CA155" t="str">
            <v>--</v>
          </cell>
          <cell r="CB155" t="str">
            <v>--</v>
          </cell>
          <cell r="CC155" t="str">
            <v>--</v>
          </cell>
          <cell r="CD155" t="str">
            <v>--</v>
          </cell>
          <cell r="CE155" t="str">
            <v>--</v>
          </cell>
          <cell r="CF155" t="str">
            <v>--</v>
          </cell>
          <cell r="CG155" t="str">
            <v>--</v>
          </cell>
          <cell r="CH155" t="str">
            <v>--</v>
          </cell>
          <cell r="CI155" t="str">
            <v>--</v>
          </cell>
          <cell r="CJ155" t="str">
            <v>--</v>
          </cell>
          <cell r="CK155" t="str">
            <v>--</v>
          </cell>
          <cell r="CL155" t="str">
            <v>--</v>
          </cell>
          <cell r="CM155" t="str">
            <v>--</v>
          </cell>
          <cell r="CN155" t="str">
            <v>--</v>
          </cell>
          <cell r="CO155" t="str">
            <v>--</v>
          </cell>
          <cell r="CP155" t="str">
            <v>--</v>
          </cell>
          <cell r="CQ155" t="str">
            <v>--</v>
          </cell>
          <cell r="CR155" t="str">
            <v>--</v>
          </cell>
          <cell r="CS155" t="str">
            <v>--</v>
          </cell>
          <cell r="CT155" t="str">
            <v>--</v>
          </cell>
          <cell r="CU155" t="str">
            <v>--</v>
          </cell>
          <cell r="CV155" t="str">
            <v>--</v>
          </cell>
          <cell r="CW155" t="str">
            <v>--</v>
          </cell>
          <cell r="CX155" t="str">
            <v>--</v>
          </cell>
          <cell r="CY155" t="str">
            <v>--</v>
          </cell>
          <cell r="CZ155" t="str">
            <v>--</v>
          </cell>
          <cell r="DA155" t="str">
            <v>--</v>
          </cell>
          <cell r="DB155" t="str">
            <v>--</v>
          </cell>
          <cell r="DC155" t="str">
            <v>--</v>
          </cell>
          <cell r="DD155" t="str">
            <v>--</v>
          </cell>
          <cell r="DE155" t="str">
            <v>--</v>
          </cell>
          <cell r="DF155" t="str">
            <v>--</v>
          </cell>
          <cell r="DG155" t="str">
            <v>--</v>
          </cell>
          <cell r="DH155" t="str">
            <v>--</v>
          </cell>
          <cell r="DI155" t="str">
            <v>--</v>
          </cell>
          <cell r="DJ155" t="str">
            <v>--</v>
          </cell>
          <cell r="DK155" t="str">
            <v>--</v>
          </cell>
          <cell r="DL155" t="str">
            <v>--</v>
          </cell>
          <cell r="DM155" t="str">
            <v>--</v>
          </cell>
          <cell r="DN155" t="str">
            <v>--</v>
          </cell>
          <cell r="DO155" t="str">
            <v>--</v>
          </cell>
          <cell r="DP155" t="str">
            <v>--</v>
          </cell>
          <cell r="DQ155" t="str">
            <v>--</v>
          </cell>
          <cell r="DR155" t="str">
            <v>--</v>
          </cell>
          <cell r="DS155" t="str">
            <v>--</v>
          </cell>
          <cell r="DT155" t="str">
            <v>--</v>
          </cell>
          <cell r="DU155" t="str">
            <v>--</v>
          </cell>
          <cell r="DV155" t="str">
            <v>--</v>
          </cell>
          <cell r="DW155" t="str">
            <v>--</v>
          </cell>
          <cell r="DX155" t="str">
            <v>--</v>
          </cell>
          <cell r="DY155" t="str">
            <v>--</v>
          </cell>
          <cell r="DZ155" t="str">
            <v>--</v>
          </cell>
          <cell r="EA155" t="str">
            <v>--</v>
          </cell>
          <cell r="EB155" t="str">
            <v>--</v>
          </cell>
          <cell r="EC155" t="str">
            <v>--</v>
          </cell>
          <cell r="ED155" t="str">
            <v>--</v>
          </cell>
          <cell r="EE155" t="str">
            <v>--</v>
          </cell>
          <cell r="EF155" t="str">
            <v>--</v>
          </cell>
          <cell r="EG155" t="str">
            <v>--</v>
          </cell>
        </row>
        <row r="156">
          <cell r="A156" t="str">
            <v>01490009Nat. Haw. or Pacif. Isl.</v>
          </cell>
          <cell r="B156" t="str">
            <v>01490009P</v>
          </cell>
          <cell r="C156" t="str">
            <v>0149</v>
          </cell>
          <cell r="D156" t="str">
            <v>01490009</v>
          </cell>
          <cell r="E156" t="str">
            <v>Lawrence</v>
          </cell>
          <cell r="F156" t="str">
            <v>Community Day Arlington</v>
          </cell>
          <cell r="G156" t="str">
            <v>EES</v>
          </cell>
          <cell r="H156" t="str">
            <v>Lawrence - Community Day Arlington (01490009)</v>
          </cell>
          <cell r="I156" t="str">
            <v>Nat. Haw. or Pacif. Isl.</v>
          </cell>
          <cell r="J156" t="str">
            <v>01490009Nat. Haw. or Pacif. Isl.</v>
          </cell>
          <cell r="K156" t="str">
            <v>--</v>
          </cell>
          <cell r="L156" t="str">
            <v>--</v>
          </cell>
          <cell r="M156" t="str">
            <v>--</v>
          </cell>
          <cell r="N156" t="str">
            <v>--</v>
          </cell>
          <cell r="O156" t="str">
            <v>--</v>
          </cell>
          <cell r="P156" t="str">
            <v>--</v>
          </cell>
          <cell r="Q156" t="str">
            <v>--</v>
          </cell>
          <cell r="R156" t="str">
            <v>--</v>
          </cell>
          <cell r="S156" t="str">
            <v>--</v>
          </cell>
          <cell r="T156" t="str">
            <v>--</v>
          </cell>
          <cell r="U156" t="str">
            <v>--</v>
          </cell>
          <cell r="V156" t="str">
            <v>--</v>
          </cell>
          <cell r="W156" t="str">
            <v>--</v>
          </cell>
          <cell r="X156" t="str">
            <v>--</v>
          </cell>
          <cell r="Y156" t="str">
            <v>--</v>
          </cell>
          <cell r="Z156" t="str">
            <v>--</v>
          </cell>
          <cell r="AA156" t="str">
            <v>--</v>
          </cell>
          <cell r="AB156" t="str">
            <v>--</v>
          </cell>
          <cell r="AC156" t="str">
            <v>--</v>
          </cell>
          <cell r="AD156" t="str">
            <v>--</v>
          </cell>
          <cell r="AE156" t="str">
            <v>--</v>
          </cell>
          <cell r="AF156" t="str">
            <v>--</v>
          </cell>
          <cell r="AG156" t="str">
            <v>--</v>
          </cell>
          <cell r="AH156" t="str">
            <v>--</v>
          </cell>
          <cell r="AI156" t="str">
            <v>--</v>
          </cell>
          <cell r="AJ156" t="str">
            <v>--</v>
          </cell>
          <cell r="AK156" t="str">
            <v>--</v>
          </cell>
          <cell r="AL156" t="str">
            <v>--</v>
          </cell>
          <cell r="AM156" t="str">
            <v>--</v>
          </cell>
          <cell r="AN156" t="str">
            <v>--</v>
          </cell>
          <cell r="AO156" t="str">
            <v>--</v>
          </cell>
          <cell r="AP156" t="str">
            <v>--</v>
          </cell>
          <cell r="AQ156" t="str">
            <v>--</v>
          </cell>
          <cell r="AR156" t="str">
            <v>--</v>
          </cell>
          <cell r="AS156" t="str">
            <v>--</v>
          </cell>
          <cell r="AT156" t="str">
            <v>--</v>
          </cell>
          <cell r="AU156" t="str">
            <v>--</v>
          </cell>
          <cell r="AV156" t="str">
            <v>--</v>
          </cell>
          <cell r="AW156" t="str">
            <v>--</v>
          </cell>
          <cell r="AX156" t="str">
            <v>--</v>
          </cell>
          <cell r="AY156" t="str">
            <v>--</v>
          </cell>
          <cell r="AZ156" t="str">
            <v>--</v>
          </cell>
          <cell r="BA156" t="str">
            <v>--</v>
          </cell>
          <cell r="BB156" t="str">
            <v>--</v>
          </cell>
          <cell r="BC156" t="str">
            <v>--</v>
          </cell>
          <cell r="BD156" t="str">
            <v>--</v>
          </cell>
          <cell r="BE156" t="str">
            <v>--</v>
          </cell>
          <cell r="BF156" t="str">
            <v>--</v>
          </cell>
          <cell r="BG156" t="str">
            <v>--</v>
          </cell>
          <cell r="BH156" t="str">
            <v>--</v>
          </cell>
          <cell r="BI156" t="str">
            <v>--</v>
          </cell>
          <cell r="BJ156" t="str">
            <v>--</v>
          </cell>
          <cell r="BK156" t="str">
            <v>--</v>
          </cell>
          <cell r="BL156" t="str">
            <v>--</v>
          </cell>
          <cell r="BM156" t="str">
            <v>--</v>
          </cell>
          <cell r="BN156" t="str">
            <v>--</v>
          </cell>
          <cell r="BO156" t="str">
            <v>--</v>
          </cell>
          <cell r="BP156" t="str">
            <v>--</v>
          </cell>
          <cell r="BQ156" t="str">
            <v>--</v>
          </cell>
          <cell r="BR156" t="str">
            <v>--</v>
          </cell>
          <cell r="BS156" t="str">
            <v>--</v>
          </cell>
          <cell r="BT156" t="str">
            <v>--</v>
          </cell>
          <cell r="BU156" t="str">
            <v>--</v>
          </cell>
          <cell r="BV156" t="str">
            <v>--</v>
          </cell>
          <cell r="BW156" t="str">
            <v>--</v>
          </cell>
          <cell r="BX156" t="str">
            <v>--</v>
          </cell>
          <cell r="BY156" t="str">
            <v>--</v>
          </cell>
          <cell r="BZ156" t="str">
            <v>--</v>
          </cell>
          <cell r="CA156" t="str">
            <v>--</v>
          </cell>
          <cell r="CB156" t="str">
            <v>--</v>
          </cell>
          <cell r="CC156" t="str">
            <v>--</v>
          </cell>
          <cell r="CD156" t="str">
            <v>--</v>
          </cell>
          <cell r="CE156" t="str">
            <v>--</v>
          </cell>
          <cell r="CF156" t="str">
            <v>--</v>
          </cell>
          <cell r="CG156" t="str">
            <v>--</v>
          </cell>
          <cell r="CH156" t="str">
            <v>--</v>
          </cell>
          <cell r="CI156" t="str">
            <v>--</v>
          </cell>
          <cell r="CJ156" t="str">
            <v>--</v>
          </cell>
          <cell r="CK156" t="str">
            <v>--</v>
          </cell>
          <cell r="CL156" t="str">
            <v>--</v>
          </cell>
          <cell r="CM156" t="str">
            <v>--</v>
          </cell>
          <cell r="CN156" t="str">
            <v>--</v>
          </cell>
          <cell r="CO156" t="str">
            <v>--</v>
          </cell>
          <cell r="CP156" t="str">
            <v>--</v>
          </cell>
          <cell r="CQ156" t="str">
            <v>--</v>
          </cell>
          <cell r="CR156" t="str">
            <v>--</v>
          </cell>
          <cell r="CS156" t="str">
            <v>--</v>
          </cell>
          <cell r="CT156" t="str">
            <v>--</v>
          </cell>
          <cell r="CU156" t="str">
            <v>--</v>
          </cell>
          <cell r="CV156" t="str">
            <v>--</v>
          </cell>
          <cell r="CW156" t="str">
            <v>--</v>
          </cell>
          <cell r="CX156" t="str">
            <v>--</v>
          </cell>
          <cell r="CY156" t="str">
            <v>--</v>
          </cell>
          <cell r="CZ156" t="str">
            <v>--</v>
          </cell>
          <cell r="DA156" t="str">
            <v>--</v>
          </cell>
          <cell r="DB156" t="str">
            <v>--</v>
          </cell>
          <cell r="DC156" t="str">
            <v>--</v>
          </cell>
          <cell r="DD156" t="str">
            <v>--</v>
          </cell>
          <cell r="DE156" t="str">
            <v>--</v>
          </cell>
          <cell r="DF156" t="str">
            <v>--</v>
          </cell>
          <cell r="DG156" t="str">
            <v>--</v>
          </cell>
          <cell r="DH156" t="str">
            <v>--</v>
          </cell>
          <cell r="DI156" t="str">
            <v>--</v>
          </cell>
          <cell r="DJ156" t="str">
            <v>--</v>
          </cell>
          <cell r="DK156" t="str">
            <v>--</v>
          </cell>
          <cell r="DL156" t="str">
            <v>--</v>
          </cell>
          <cell r="DM156" t="str">
            <v>--</v>
          </cell>
          <cell r="DN156" t="str">
            <v>--</v>
          </cell>
          <cell r="DO156" t="str">
            <v>--</v>
          </cell>
          <cell r="DP156" t="str">
            <v>--</v>
          </cell>
          <cell r="DQ156" t="str">
            <v>--</v>
          </cell>
          <cell r="DR156" t="str">
            <v>--</v>
          </cell>
          <cell r="DS156" t="str">
            <v>--</v>
          </cell>
          <cell r="DT156" t="str">
            <v>--</v>
          </cell>
          <cell r="DU156" t="str">
            <v>--</v>
          </cell>
          <cell r="DV156" t="str">
            <v>--</v>
          </cell>
          <cell r="DW156" t="str">
            <v>--</v>
          </cell>
          <cell r="DX156" t="str">
            <v>--</v>
          </cell>
          <cell r="DY156" t="str">
            <v>--</v>
          </cell>
          <cell r="DZ156" t="str">
            <v>--</v>
          </cell>
          <cell r="EA156" t="str">
            <v>--</v>
          </cell>
          <cell r="EB156" t="str">
            <v>--</v>
          </cell>
          <cell r="EC156" t="str">
            <v>--</v>
          </cell>
          <cell r="ED156" t="str">
            <v>--</v>
          </cell>
          <cell r="EE156" t="str">
            <v>--</v>
          </cell>
          <cell r="EF156" t="str">
            <v>--</v>
          </cell>
          <cell r="EG156" t="str">
            <v>--</v>
          </cell>
        </row>
        <row r="157">
          <cell r="A157" t="str">
            <v>01490009High needs</v>
          </cell>
          <cell r="B157" t="str">
            <v>01490009S</v>
          </cell>
          <cell r="C157" t="str">
            <v>0149</v>
          </cell>
          <cell r="D157" t="str">
            <v>01490009</v>
          </cell>
          <cell r="E157" t="str">
            <v>Lawrence</v>
          </cell>
          <cell r="F157" t="str">
            <v>Community Day Arlington</v>
          </cell>
          <cell r="G157" t="str">
            <v>EES</v>
          </cell>
          <cell r="H157" t="str">
            <v>Lawrence - Community Day Arlington (01490009)</v>
          </cell>
          <cell r="I157" t="str">
            <v>High needs</v>
          </cell>
          <cell r="J157" t="str">
            <v>01490009High needs</v>
          </cell>
          <cell r="K157" t="str">
            <v>--</v>
          </cell>
          <cell r="L157">
            <v>61.3</v>
          </cell>
          <cell r="M157">
            <v>64.5</v>
          </cell>
          <cell r="N157">
            <v>58.3</v>
          </cell>
          <cell r="O157">
            <v>67.8</v>
          </cell>
          <cell r="P157">
            <v>55.5</v>
          </cell>
          <cell r="Q157">
            <v>71</v>
          </cell>
          <cell r="R157">
            <v>74.2</v>
          </cell>
          <cell r="S157">
            <v>77.400000000000006</v>
          </cell>
          <cell r="T157">
            <v>80.7</v>
          </cell>
          <cell r="U157">
            <v>61.6</v>
          </cell>
          <cell r="V157">
            <v>64.8</v>
          </cell>
          <cell r="W157">
            <v>56.5</v>
          </cell>
          <cell r="X157">
            <v>68</v>
          </cell>
          <cell r="Y157">
            <v>68.099999999999994</v>
          </cell>
          <cell r="Z157">
            <v>71.2</v>
          </cell>
          <cell r="AA157">
            <v>74.400000000000006</v>
          </cell>
          <cell r="AB157">
            <v>77.599999999999994</v>
          </cell>
          <cell r="AC157">
            <v>80.8</v>
          </cell>
          <cell r="AD157" t="str">
            <v>--</v>
          </cell>
          <cell r="AE157" t="str">
            <v>--</v>
          </cell>
          <cell r="AF157" t="str">
            <v>--</v>
          </cell>
          <cell r="AG157" t="str">
            <v>--</v>
          </cell>
          <cell r="AH157" t="str">
            <v>--</v>
          </cell>
          <cell r="AI157" t="str">
            <v>--</v>
          </cell>
          <cell r="AJ157" t="str">
            <v>--</v>
          </cell>
          <cell r="AK157" t="str">
            <v>--</v>
          </cell>
          <cell r="AL157" t="str">
            <v>--</v>
          </cell>
          <cell r="AM157" t="str">
            <v>--</v>
          </cell>
          <cell r="AN157" t="str">
            <v>--</v>
          </cell>
          <cell r="AO157" t="str">
            <v>--</v>
          </cell>
          <cell r="AP157" t="str">
            <v>--</v>
          </cell>
          <cell r="AQ157" t="str">
            <v>--</v>
          </cell>
          <cell r="AR157" t="str">
            <v>--</v>
          </cell>
          <cell r="AS157" t="str">
            <v>--</v>
          </cell>
          <cell r="AT157" t="str">
            <v>--</v>
          </cell>
          <cell r="AU157" t="str">
            <v>--</v>
          </cell>
          <cell r="AV157" t="str">
            <v>--</v>
          </cell>
          <cell r="AW157" t="str">
            <v>--</v>
          </cell>
          <cell r="AX157" t="str">
            <v>--</v>
          </cell>
          <cell r="AY157" t="str">
            <v>--</v>
          </cell>
          <cell r="AZ157" t="str">
            <v>--</v>
          </cell>
          <cell r="BA157" t="str">
            <v>--</v>
          </cell>
          <cell r="BB157" t="str">
            <v>--</v>
          </cell>
          <cell r="BC157" t="str">
            <v>--</v>
          </cell>
          <cell r="BD157" t="str">
            <v>--</v>
          </cell>
          <cell r="BE157" t="str">
            <v>--</v>
          </cell>
          <cell r="BF157" t="str">
            <v>--</v>
          </cell>
          <cell r="BG157" t="str">
            <v>--</v>
          </cell>
          <cell r="BH157" t="str">
            <v>--</v>
          </cell>
          <cell r="BI157" t="str">
            <v>--</v>
          </cell>
          <cell r="BJ157" t="str">
            <v>--</v>
          </cell>
          <cell r="BK157" t="str">
            <v>--</v>
          </cell>
          <cell r="BL157" t="str">
            <v>--</v>
          </cell>
          <cell r="BM157" t="str">
            <v>--</v>
          </cell>
          <cell r="BN157">
            <v>39</v>
          </cell>
          <cell r="BO157">
            <v>49</v>
          </cell>
          <cell r="BP157">
            <v>32</v>
          </cell>
          <cell r="BQ157">
            <v>42</v>
          </cell>
          <cell r="BR157">
            <v>34</v>
          </cell>
          <cell r="BS157">
            <v>44</v>
          </cell>
          <cell r="BT157">
            <v>51</v>
          </cell>
          <cell r="BU157">
            <v>51</v>
          </cell>
          <cell r="BV157">
            <v>51</v>
          </cell>
          <cell r="BW157">
            <v>44.5</v>
          </cell>
          <cell r="BX157">
            <v>51</v>
          </cell>
          <cell r="BY157">
            <v>34.5</v>
          </cell>
          <cell r="BZ157">
            <v>44.5</v>
          </cell>
          <cell r="CA157">
            <v>73</v>
          </cell>
          <cell r="CB157">
            <v>51</v>
          </cell>
          <cell r="CC157">
            <v>51</v>
          </cell>
          <cell r="CD157">
            <v>51</v>
          </cell>
          <cell r="CE157">
            <v>51</v>
          </cell>
          <cell r="CF157">
            <v>20.7</v>
          </cell>
          <cell r="CG157">
            <v>18.600000000000001</v>
          </cell>
          <cell r="CH157">
            <v>32.299999999999997</v>
          </cell>
          <cell r="CI157">
            <v>29.1</v>
          </cell>
          <cell r="CJ157">
            <v>33.200000000000003</v>
          </cell>
          <cell r="CK157">
            <v>29.9</v>
          </cell>
          <cell r="CL157">
            <v>26.9</v>
          </cell>
          <cell r="CM157">
            <v>24.2</v>
          </cell>
          <cell r="CN157">
            <v>21.8</v>
          </cell>
          <cell r="CO157">
            <v>26.6</v>
          </cell>
          <cell r="CP157">
            <v>23.9</v>
          </cell>
          <cell r="CQ157">
            <v>31.3</v>
          </cell>
          <cell r="CR157">
            <v>28.2</v>
          </cell>
          <cell r="CS157">
            <v>19.7</v>
          </cell>
          <cell r="CT157">
            <v>17.7</v>
          </cell>
          <cell r="CU157">
            <v>16</v>
          </cell>
          <cell r="CV157">
            <v>14.4</v>
          </cell>
          <cell r="CW157">
            <v>12.9</v>
          </cell>
          <cell r="CX157" t="str">
            <v>--</v>
          </cell>
          <cell r="CY157" t="str">
            <v>--</v>
          </cell>
          <cell r="CZ157" t="str">
            <v>--</v>
          </cell>
          <cell r="DA157" t="str">
            <v>--</v>
          </cell>
          <cell r="DB157" t="str">
            <v>--</v>
          </cell>
          <cell r="DC157" t="str">
            <v>--</v>
          </cell>
          <cell r="DD157" t="str">
            <v>--</v>
          </cell>
          <cell r="DE157" t="str">
            <v>--</v>
          </cell>
          <cell r="DF157" t="str">
            <v>--</v>
          </cell>
          <cell r="DG157">
            <v>1.5</v>
          </cell>
          <cell r="DH157">
            <v>1.7</v>
          </cell>
          <cell r="DI157">
            <v>3.2</v>
          </cell>
          <cell r="DJ157">
            <v>3.5</v>
          </cell>
          <cell r="DK157">
            <v>0.5</v>
          </cell>
          <cell r="DL157">
            <v>0.6</v>
          </cell>
          <cell r="DM157">
            <v>0.6</v>
          </cell>
          <cell r="DN157">
            <v>0.7</v>
          </cell>
          <cell r="DO157">
            <v>0.7</v>
          </cell>
          <cell r="DP157">
            <v>2</v>
          </cell>
          <cell r="DQ157">
            <v>2.2000000000000002</v>
          </cell>
          <cell r="DR157">
            <v>3.1</v>
          </cell>
          <cell r="DS157">
            <v>3.4</v>
          </cell>
          <cell r="DT157">
            <v>10.6</v>
          </cell>
          <cell r="DU157">
            <v>11.7</v>
          </cell>
          <cell r="DV157">
            <v>12.8</v>
          </cell>
          <cell r="DW157">
            <v>14.1</v>
          </cell>
          <cell r="DX157">
            <v>15.5</v>
          </cell>
          <cell r="DY157" t="str">
            <v>--</v>
          </cell>
          <cell r="DZ157" t="str">
            <v>--</v>
          </cell>
          <cell r="EA157" t="str">
            <v>--</v>
          </cell>
          <cell r="EB157" t="str">
            <v>--</v>
          </cell>
          <cell r="EC157" t="str">
            <v>--</v>
          </cell>
          <cell r="ED157" t="str">
            <v>--</v>
          </cell>
          <cell r="EE157" t="str">
            <v>--</v>
          </cell>
          <cell r="EF157" t="str">
            <v>--</v>
          </cell>
          <cell r="EG157" t="str">
            <v>--</v>
          </cell>
        </row>
        <row r="158">
          <cell r="A158" t="str">
            <v>01490009All students</v>
          </cell>
          <cell r="B158" t="str">
            <v>01490009T</v>
          </cell>
          <cell r="C158" t="str">
            <v>0149</v>
          </cell>
          <cell r="D158" t="str">
            <v>01490009</v>
          </cell>
          <cell r="E158" t="str">
            <v>Lawrence</v>
          </cell>
          <cell r="F158" t="str">
            <v>Community Day Arlington</v>
          </cell>
          <cell r="G158" t="str">
            <v>EES</v>
          </cell>
          <cell r="H158" t="str">
            <v>Lawrence - Community Day Arlington (01490009)</v>
          </cell>
          <cell r="I158" t="str">
            <v>All students</v>
          </cell>
          <cell r="J158" t="str">
            <v>01490009All students</v>
          </cell>
          <cell r="K158" t="str">
            <v>--</v>
          </cell>
          <cell r="L158">
            <v>61.5</v>
          </cell>
          <cell r="M158">
            <v>64.7</v>
          </cell>
          <cell r="N158">
            <v>58.6</v>
          </cell>
          <cell r="O158">
            <v>67.900000000000006</v>
          </cell>
          <cell r="P158">
            <v>55.6</v>
          </cell>
          <cell r="Q158">
            <v>71.099999999999994</v>
          </cell>
          <cell r="R158">
            <v>74.3</v>
          </cell>
          <cell r="S158">
            <v>77.5</v>
          </cell>
          <cell r="T158">
            <v>80.8</v>
          </cell>
          <cell r="U158">
            <v>61.5</v>
          </cell>
          <cell r="V158">
            <v>64.7</v>
          </cell>
          <cell r="W158">
            <v>56.4</v>
          </cell>
          <cell r="X158">
            <v>67.900000000000006</v>
          </cell>
          <cell r="Y158">
            <v>68.3</v>
          </cell>
          <cell r="Z158">
            <v>71.099999999999994</v>
          </cell>
          <cell r="AA158">
            <v>74.3</v>
          </cell>
          <cell r="AB158">
            <v>77.5</v>
          </cell>
          <cell r="AC158">
            <v>80.8</v>
          </cell>
          <cell r="AD158" t="str">
            <v>--</v>
          </cell>
          <cell r="AE158" t="str">
            <v>--</v>
          </cell>
          <cell r="AF158" t="str">
            <v>--</v>
          </cell>
          <cell r="AG158" t="str">
            <v>--</v>
          </cell>
          <cell r="AH158" t="str">
            <v>--</v>
          </cell>
          <cell r="AI158" t="str">
            <v>--</v>
          </cell>
          <cell r="AJ158" t="str">
            <v>--</v>
          </cell>
          <cell r="AK158" t="str">
            <v>--</v>
          </cell>
          <cell r="AL158" t="str">
            <v>--</v>
          </cell>
          <cell r="AM158" t="str">
            <v>--</v>
          </cell>
          <cell r="AN158" t="str">
            <v>--</v>
          </cell>
          <cell r="AO158" t="str">
            <v>--</v>
          </cell>
          <cell r="AP158" t="str">
            <v>--</v>
          </cell>
          <cell r="AQ158" t="str">
            <v>--</v>
          </cell>
          <cell r="AR158" t="str">
            <v>--</v>
          </cell>
          <cell r="AS158" t="str">
            <v>--</v>
          </cell>
          <cell r="AT158" t="str">
            <v>--</v>
          </cell>
          <cell r="AU158" t="str">
            <v>--</v>
          </cell>
          <cell r="AV158" t="str">
            <v>--</v>
          </cell>
          <cell r="AW158" t="str">
            <v>--</v>
          </cell>
          <cell r="AX158" t="str">
            <v>--</v>
          </cell>
          <cell r="AY158" t="str">
            <v>--</v>
          </cell>
          <cell r="AZ158" t="str">
            <v>--</v>
          </cell>
          <cell r="BA158" t="str">
            <v>--</v>
          </cell>
          <cell r="BB158" t="str">
            <v>--</v>
          </cell>
          <cell r="BC158" t="str">
            <v>--</v>
          </cell>
          <cell r="BD158" t="str">
            <v>--</v>
          </cell>
          <cell r="BE158" t="str">
            <v>--</v>
          </cell>
          <cell r="BF158" t="str">
            <v>--</v>
          </cell>
          <cell r="BG158" t="str">
            <v>--</v>
          </cell>
          <cell r="BH158" t="str">
            <v>--</v>
          </cell>
          <cell r="BI158" t="str">
            <v>--</v>
          </cell>
          <cell r="BJ158" t="str">
            <v>--</v>
          </cell>
          <cell r="BK158" t="str">
            <v>--</v>
          </cell>
          <cell r="BL158" t="str">
            <v>--</v>
          </cell>
          <cell r="BM158" t="str">
            <v>--</v>
          </cell>
          <cell r="BN158">
            <v>39.5</v>
          </cell>
          <cell r="BO158">
            <v>49.5</v>
          </cell>
          <cell r="BP158">
            <v>32</v>
          </cell>
          <cell r="BQ158">
            <v>42</v>
          </cell>
          <cell r="BR158">
            <v>34</v>
          </cell>
          <cell r="BS158">
            <v>44</v>
          </cell>
          <cell r="BT158">
            <v>51</v>
          </cell>
          <cell r="BU158">
            <v>51</v>
          </cell>
          <cell r="BV158">
            <v>51</v>
          </cell>
          <cell r="BW158">
            <v>44</v>
          </cell>
          <cell r="BX158">
            <v>51</v>
          </cell>
          <cell r="BY158">
            <v>34.5</v>
          </cell>
          <cell r="BZ158">
            <v>44.5</v>
          </cell>
          <cell r="CA158">
            <v>73</v>
          </cell>
          <cell r="CB158">
            <v>51</v>
          </cell>
          <cell r="CC158">
            <v>51</v>
          </cell>
          <cell r="CD158">
            <v>51</v>
          </cell>
          <cell r="CE158">
            <v>51</v>
          </cell>
          <cell r="CF158">
            <v>20.6</v>
          </cell>
          <cell r="CG158">
            <v>18.5</v>
          </cell>
          <cell r="CH158">
            <v>31.9</v>
          </cell>
          <cell r="CI158">
            <v>28.7</v>
          </cell>
          <cell r="CJ158">
            <v>32.9</v>
          </cell>
          <cell r="CK158">
            <v>29.6</v>
          </cell>
          <cell r="CL158">
            <v>26.6</v>
          </cell>
          <cell r="CM158">
            <v>24</v>
          </cell>
          <cell r="CN158">
            <v>21.6</v>
          </cell>
          <cell r="CO158">
            <v>26.5</v>
          </cell>
          <cell r="CP158">
            <v>23.9</v>
          </cell>
          <cell r="CQ158">
            <v>31.4</v>
          </cell>
          <cell r="CR158">
            <v>28.3</v>
          </cell>
          <cell r="CS158">
            <v>19.5</v>
          </cell>
          <cell r="CT158">
            <v>17.600000000000001</v>
          </cell>
          <cell r="CU158">
            <v>15.8</v>
          </cell>
          <cell r="CV158">
            <v>14.2</v>
          </cell>
          <cell r="CW158">
            <v>12.8</v>
          </cell>
          <cell r="CX158" t="str">
            <v>--</v>
          </cell>
          <cell r="CY158" t="str">
            <v>--</v>
          </cell>
          <cell r="CZ158" t="str">
            <v>--</v>
          </cell>
          <cell r="DA158" t="str">
            <v>--</v>
          </cell>
          <cell r="DB158" t="str">
            <v>--</v>
          </cell>
          <cell r="DC158" t="str">
            <v>--</v>
          </cell>
          <cell r="DD158" t="str">
            <v>--</v>
          </cell>
          <cell r="DE158" t="str">
            <v>--</v>
          </cell>
          <cell r="DF158" t="str">
            <v>--</v>
          </cell>
          <cell r="DG158">
            <v>1.5</v>
          </cell>
          <cell r="DH158">
            <v>1.7</v>
          </cell>
          <cell r="DI158">
            <v>3.1</v>
          </cell>
          <cell r="DJ158">
            <v>3.4</v>
          </cell>
          <cell r="DK158">
            <v>0.5</v>
          </cell>
          <cell r="DL158">
            <v>0.6</v>
          </cell>
          <cell r="DM158">
            <v>0.6</v>
          </cell>
          <cell r="DN158">
            <v>0.7</v>
          </cell>
          <cell r="DO158">
            <v>0.7</v>
          </cell>
          <cell r="DP158">
            <v>2</v>
          </cell>
          <cell r="DQ158">
            <v>2.2000000000000002</v>
          </cell>
          <cell r="DR158">
            <v>3.1</v>
          </cell>
          <cell r="DS158">
            <v>3.4</v>
          </cell>
          <cell r="DT158">
            <v>10.5</v>
          </cell>
          <cell r="DU158">
            <v>11.6</v>
          </cell>
          <cell r="DV158">
            <v>12.7</v>
          </cell>
          <cell r="DW158">
            <v>14</v>
          </cell>
          <cell r="DX158">
            <v>15.4</v>
          </cell>
          <cell r="DY158" t="str">
            <v>--</v>
          </cell>
          <cell r="DZ158" t="str">
            <v>--</v>
          </cell>
          <cell r="EA158" t="str">
            <v>--</v>
          </cell>
          <cell r="EB158" t="str">
            <v>--</v>
          </cell>
          <cell r="EC158" t="str">
            <v>--</v>
          </cell>
          <cell r="ED158" t="str">
            <v>--</v>
          </cell>
          <cell r="EE158" t="str">
            <v>--</v>
          </cell>
          <cell r="EF158" t="str">
            <v>--</v>
          </cell>
          <cell r="EG158" t="str">
            <v>--</v>
          </cell>
        </row>
        <row r="159">
          <cell r="A159" t="str">
            <v>01490045Asian</v>
          </cell>
          <cell r="B159" t="str">
            <v>01490045A</v>
          </cell>
          <cell r="C159" t="str">
            <v>0149</v>
          </cell>
          <cell r="D159" t="str">
            <v>01490045</v>
          </cell>
          <cell r="E159" t="str">
            <v>Lawrence</v>
          </cell>
          <cell r="F159" t="str">
            <v>James F Leonard</v>
          </cell>
          <cell r="G159" t="str">
            <v>MS</v>
          </cell>
          <cell r="H159" t="str">
            <v>Lawrence - James F Leonard (01490045)</v>
          </cell>
          <cell r="I159" t="str">
            <v>Asian</v>
          </cell>
          <cell r="J159" t="str">
            <v>01490045Asian</v>
          </cell>
          <cell r="K159" t="str">
            <v>--</v>
          </cell>
          <cell r="L159" t="str">
            <v>--</v>
          </cell>
          <cell r="M159" t="str">
            <v>--</v>
          </cell>
          <cell r="N159" t="str">
            <v>--</v>
          </cell>
          <cell r="O159" t="str">
            <v>--</v>
          </cell>
          <cell r="P159" t="str">
            <v>--</v>
          </cell>
          <cell r="Q159" t="str">
            <v>--</v>
          </cell>
          <cell r="R159" t="str">
            <v>--</v>
          </cell>
          <cell r="S159" t="str">
            <v>--</v>
          </cell>
          <cell r="T159" t="str">
            <v>--</v>
          </cell>
          <cell r="U159" t="str">
            <v>--</v>
          </cell>
          <cell r="V159" t="str">
            <v>--</v>
          </cell>
          <cell r="W159" t="str">
            <v>--</v>
          </cell>
          <cell r="X159" t="str">
            <v>--</v>
          </cell>
          <cell r="Y159" t="str">
            <v>--</v>
          </cell>
          <cell r="Z159" t="str">
            <v>--</v>
          </cell>
          <cell r="AA159" t="str">
            <v>--</v>
          </cell>
          <cell r="AB159" t="str">
            <v>--</v>
          </cell>
          <cell r="AC159" t="str">
            <v>--</v>
          </cell>
          <cell r="AD159" t="str">
            <v>--</v>
          </cell>
          <cell r="AE159" t="str">
            <v>--</v>
          </cell>
          <cell r="AF159" t="str">
            <v>--</v>
          </cell>
          <cell r="AG159" t="str">
            <v>--</v>
          </cell>
          <cell r="AH159" t="str">
            <v>--</v>
          </cell>
          <cell r="AI159" t="str">
            <v>--</v>
          </cell>
          <cell r="AJ159" t="str">
            <v>--</v>
          </cell>
          <cell r="AK159" t="str">
            <v>--</v>
          </cell>
          <cell r="AL159" t="str">
            <v>--</v>
          </cell>
          <cell r="AM159" t="str">
            <v>--</v>
          </cell>
          <cell r="AN159" t="str">
            <v>--</v>
          </cell>
          <cell r="AO159" t="str">
            <v>--</v>
          </cell>
          <cell r="AP159" t="str">
            <v>--</v>
          </cell>
          <cell r="AQ159" t="str">
            <v>--</v>
          </cell>
          <cell r="AR159" t="str">
            <v>--</v>
          </cell>
          <cell r="AS159" t="str">
            <v>--</v>
          </cell>
          <cell r="AT159" t="str">
            <v>--</v>
          </cell>
          <cell r="AU159" t="str">
            <v>--</v>
          </cell>
          <cell r="AV159" t="str">
            <v>--</v>
          </cell>
          <cell r="AW159" t="str">
            <v>--</v>
          </cell>
          <cell r="AX159" t="str">
            <v>--</v>
          </cell>
          <cell r="AY159" t="str">
            <v>--</v>
          </cell>
          <cell r="AZ159" t="str">
            <v>--</v>
          </cell>
          <cell r="BA159" t="str">
            <v>--</v>
          </cell>
          <cell r="BB159" t="str">
            <v>--</v>
          </cell>
          <cell r="BC159" t="str">
            <v>--</v>
          </cell>
          <cell r="BD159" t="str">
            <v>--</v>
          </cell>
          <cell r="BE159" t="str">
            <v>--</v>
          </cell>
          <cell r="BF159" t="str">
            <v>--</v>
          </cell>
          <cell r="BG159" t="str">
            <v>--</v>
          </cell>
          <cell r="BH159" t="str">
            <v>--</v>
          </cell>
          <cell r="BI159" t="str">
            <v>--</v>
          </cell>
          <cell r="BJ159" t="str">
            <v>--</v>
          </cell>
          <cell r="BK159" t="str">
            <v>--</v>
          </cell>
          <cell r="BL159" t="str">
            <v>--</v>
          </cell>
          <cell r="BM159" t="str">
            <v>--</v>
          </cell>
          <cell r="BN159" t="str">
            <v>--</v>
          </cell>
          <cell r="BO159" t="str">
            <v>--</v>
          </cell>
          <cell r="BP159" t="str">
            <v>--</v>
          </cell>
          <cell r="BQ159" t="str">
            <v>--</v>
          </cell>
          <cell r="BR159" t="str">
            <v>--</v>
          </cell>
          <cell r="BS159" t="str">
            <v>--</v>
          </cell>
          <cell r="BT159" t="str">
            <v>--</v>
          </cell>
          <cell r="BU159" t="str">
            <v>--</v>
          </cell>
          <cell r="BV159" t="str">
            <v>--</v>
          </cell>
          <cell r="BW159" t="str">
            <v>--</v>
          </cell>
          <cell r="BX159" t="str">
            <v>--</v>
          </cell>
          <cell r="BY159" t="str">
            <v>--</v>
          </cell>
          <cell r="BZ159" t="str">
            <v>--</v>
          </cell>
          <cell r="CA159" t="str">
            <v>--</v>
          </cell>
          <cell r="CB159" t="str">
            <v>--</v>
          </cell>
          <cell r="CC159" t="str">
            <v>--</v>
          </cell>
          <cell r="CD159" t="str">
            <v>--</v>
          </cell>
          <cell r="CE159" t="str">
            <v>--</v>
          </cell>
          <cell r="CF159" t="str">
            <v>--</v>
          </cell>
          <cell r="CG159" t="str">
            <v>--</v>
          </cell>
          <cell r="CH159" t="str">
            <v>--</v>
          </cell>
          <cell r="CI159" t="str">
            <v>--</v>
          </cell>
          <cell r="CJ159" t="str">
            <v>--</v>
          </cell>
          <cell r="CK159" t="str">
            <v>--</v>
          </cell>
          <cell r="CL159" t="str">
            <v>--</v>
          </cell>
          <cell r="CM159" t="str">
            <v>--</v>
          </cell>
          <cell r="CN159" t="str">
            <v>--</v>
          </cell>
          <cell r="CO159" t="str">
            <v>--</v>
          </cell>
          <cell r="CP159" t="str">
            <v>--</v>
          </cell>
          <cell r="CQ159" t="str">
            <v>--</v>
          </cell>
          <cell r="CR159" t="str">
            <v>--</v>
          </cell>
          <cell r="CS159" t="str">
            <v>--</v>
          </cell>
          <cell r="CT159" t="str">
            <v>--</v>
          </cell>
          <cell r="CU159" t="str">
            <v>--</v>
          </cell>
          <cell r="CV159" t="str">
            <v>--</v>
          </cell>
          <cell r="CW159" t="str">
            <v>--</v>
          </cell>
          <cell r="CX159" t="str">
            <v>--</v>
          </cell>
          <cell r="CY159" t="str">
            <v>--</v>
          </cell>
          <cell r="CZ159" t="str">
            <v>--</v>
          </cell>
          <cell r="DA159" t="str">
            <v>--</v>
          </cell>
          <cell r="DB159" t="str">
            <v>--</v>
          </cell>
          <cell r="DC159" t="str">
            <v>--</v>
          </cell>
          <cell r="DD159" t="str">
            <v>--</v>
          </cell>
          <cell r="DE159" t="str">
            <v>--</v>
          </cell>
          <cell r="DF159" t="str">
            <v>--</v>
          </cell>
          <cell r="DG159" t="str">
            <v>--</v>
          </cell>
          <cell r="DH159" t="str">
            <v>--</v>
          </cell>
          <cell r="DI159" t="str">
            <v>--</v>
          </cell>
          <cell r="DJ159" t="str">
            <v>--</v>
          </cell>
          <cell r="DK159" t="str">
            <v>--</v>
          </cell>
          <cell r="DL159" t="str">
            <v>--</v>
          </cell>
          <cell r="DM159" t="str">
            <v>--</v>
          </cell>
          <cell r="DN159" t="str">
            <v>--</v>
          </cell>
          <cell r="DO159" t="str">
            <v>--</v>
          </cell>
          <cell r="DP159" t="str">
            <v>--</v>
          </cell>
          <cell r="DQ159" t="str">
            <v>--</v>
          </cell>
          <cell r="DR159" t="str">
            <v>--</v>
          </cell>
          <cell r="DS159" t="str">
            <v>--</v>
          </cell>
          <cell r="DT159" t="str">
            <v>--</v>
          </cell>
          <cell r="DU159" t="str">
            <v>--</v>
          </cell>
          <cell r="DV159" t="str">
            <v>--</v>
          </cell>
          <cell r="DW159" t="str">
            <v>--</v>
          </cell>
          <cell r="DX159" t="str">
            <v>--</v>
          </cell>
          <cell r="DY159" t="str">
            <v>--</v>
          </cell>
          <cell r="DZ159" t="str">
            <v>--</v>
          </cell>
          <cell r="EA159" t="str">
            <v>--</v>
          </cell>
          <cell r="EB159" t="str">
            <v>--</v>
          </cell>
          <cell r="EC159" t="str">
            <v>--</v>
          </cell>
          <cell r="ED159" t="str">
            <v>--</v>
          </cell>
          <cell r="EE159" t="str">
            <v>--</v>
          </cell>
          <cell r="EF159" t="str">
            <v>--</v>
          </cell>
          <cell r="EG159" t="str">
            <v>--</v>
          </cell>
        </row>
        <row r="160">
          <cell r="A160" t="str">
            <v>01490045Afr. Amer/Black</v>
          </cell>
          <cell r="B160" t="str">
            <v>01490045B</v>
          </cell>
          <cell r="C160" t="str">
            <v>0149</v>
          </cell>
          <cell r="D160" t="str">
            <v>01490045</v>
          </cell>
          <cell r="E160" t="str">
            <v>Lawrence</v>
          </cell>
          <cell r="F160" t="str">
            <v>James F Leonard</v>
          </cell>
          <cell r="G160" t="str">
            <v>MS</v>
          </cell>
          <cell r="H160" t="str">
            <v>Lawrence - James F Leonard (01490045)</v>
          </cell>
          <cell r="I160" t="str">
            <v>Afr. Amer/Black</v>
          </cell>
          <cell r="J160" t="str">
            <v>01490045Afr. Amer/Black</v>
          </cell>
          <cell r="K160" t="str">
            <v>--</v>
          </cell>
          <cell r="L160" t="str">
            <v>--</v>
          </cell>
          <cell r="M160" t="str">
            <v>--</v>
          </cell>
          <cell r="N160" t="str">
            <v>--</v>
          </cell>
          <cell r="O160" t="str">
            <v>--</v>
          </cell>
          <cell r="P160" t="str">
            <v>--</v>
          </cell>
          <cell r="Q160" t="str">
            <v>--</v>
          </cell>
          <cell r="R160" t="str">
            <v>--</v>
          </cell>
          <cell r="S160" t="str">
            <v>--</v>
          </cell>
          <cell r="T160" t="str">
            <v>--</v>
          </cell>
          <cell r="U160" t="str">
            <v>--</v>
          </cell>
          <cell r="V160" t="str">
            <v>--</v>
          </cell>
          <cell r="W160" t="str">
            <v>--</v>
          </cell>
          <cell r="X160" t="str">
            <v>--</v>
          </cell>
          <cell r="Y160" t="str">
            <v>--</v>
          </cell>
          <cell r="Z160" t="str">
            <v>--</v>
          </cell>
          <cell r="AA160" t="str">
            <v>--</v>
          </cell>
          <cell r="AB160" t="str">
            <v>--</v>
          </cell>
          <cell r="AC160" t="str">
            <v>--</v>
          </cell>
          <cell r="AD160" t="str">
            <v>--</v>
          </cell>
          <cell r="AE160" t="str">
            <v>--</v>
          </cell>
          <cell r="AF160" t="str">
            <v>--</v>
          </cell>
          <cell r="AG160" t="str">
            <v>--</v>
          </cell>
          <cell r="AH160" t="str">
            <v>--</v>
          </cell>
          <cell r="AI160" t="str">
            <v>--</v>
          </cell>
          <cell r="AJ160" t="str">
            <v>--</v>
          </cell>
          <cell r="AK160" t="str">
            <v>--</v>
          </cell>
          <cell r="AL160" t="str">
            <v>--</v>
          </cell>
          <cell r="AM160" t="str">
            <v>--</v>
          </cell>
          <cell r="AN160" t="str">
            <v>--</v>
          </cell>
          <cell r="AO160" t="str">
            <v>--</v>
          </cell>
          <cell r="AP160" t="str">
            <v>--</v>
          </cell>
          <cell r="AQ160" t="str">
            <v>--</v>
          </cell>
          <cell r="AR160" t="str">
            <v>--</v>
          </cell>
          <cell r="AS160" t="str">
            <v>--</v>
          </cell>
          <cell r="AT160" t="str">
            <v>--</v>
          </cell>
          <cell r="AU160" t="str">
            <v>--</v>
          </cell>
          <cell r="AV160" t="str">
            <v>--</v>
          </cell>
          <cell r="AW160" t="str">
            <v>--</v>
          </cell>
          <cell r="AX160" t="str">
            <v>--</v>
          </cell>
          <cell r="AY160" t="str">
            <v>--</v>
          </cell>
          <cell r="AZ160" t="str">
            <v>--</v>
          </cell>
          <cell r="BA160" t="str">
            <v>--</v>
          </cell>
          <cell r="BB160" t="str">
            <v>--</v>
          </cell>
          <cell r="BC160" t="str">
            <v>--</v>
          </cell>
          <cell r="BD160" t="str">
            <v>--</v>
          </cell>
          <cell r="BE160" t="str">
            <v>--</v>
          </cell>
          <cell r="BF160" t="str">
            <v>--</v>
          </cell>
          <cell r="BG160" t="str">
            <v>--</v>
          </cell>
          <cell r="BH160" t="str">
            <v>--</v>
          </cell>
          <cell r="BI160" t="str">
            <v>--</v>
          </cell>
          <cell r="BJ160" t="str">
            <v>--</v>
          </cell>
          <cell r="BK160" t="str">
            <v>--</v>
          </cell>
          <cell r="BL160" t="str">
            <v>--</v>
          </cell>
          <cell r="BM160" t="str">
            <v>--</v>
          </cell>
          <cell r="BN160" t="str">
            <v>--</v>
          </cell>
          <cell r="BO160" t="str">
            <v>--</v>
          </cell>
          <cell r="BP160" t="str">
            <v>--</v>
          </cell>
          <cell r="BQ160" t="str">
            <v>--</v>
          </cell>
          <cell r="BR160" t="str">
            <v>--</v>
          </cell>
          <cell r="BS160" t="str">
            <v>--</v>
          </cell>
          <cell r="BT160" t="str">
            <v>--</v>
          </cell>
          <cell r="BU160" t="str">
            <v>--</v>
          </cell>
          <cell r="BV160" t="str">
            <v>--</v>
          </cell>
          <cell r="BW160" t="str">
            <v>--</v>
          </cell>
          <cell r="BX160" t="str">
            <v>--</v>
          </cell>
          <cell r="BY160" t="str">
            <v>--</v>
          </cell>
          <cell r="BZ160" t="str">
            <v>--</v>
          </cell>
          <cell r="CA160" t="str">
            <v>--</v>
          </cell>
          <cell r="CB160" t="str">
            <v>--</v>
          </cell>
          <cell r="CC160" t="str">
            <v>--</v>
          </cell>
          <cell r="CD160" t="str">
            <v>--</v>
          </cell>
          <cell r="CE160" t="str">
            <v>--</v>
          </cell>
          <cell r="CF160" t="str">
            <v>--</v>
          </cell>
          <cell r="CG160" t="str">
            <v>--</v>
          </cell>
          <cell r="CH160" t="str">
            <v>--</v>
          </cell>
          <cell r="CI160" t="str">
            <v>--</v>
          </cell>
          <cell r="CJ160" t="str">
            <v>--</v>
          </cell>
          <cell r="CK160" t="str">
            <v>--</v>
          </cell>
          <cell r="CL160" t="str">
            <v>--</v>
          </cell>
          <cell r="CM160" t="str">
            <v>--</v>
          </cell>
          <cell r="CN160" t="str">
            <v>--</v>
          </cell>
          <cell r="CO160" t="str">
            <v>--</v>
          </cell>
          <cell r="CP160" t="str">
            <v>--</v>
          </cell>
          <cell r="CQ160" t="str">
            <v>--</v>
          </cell>
          <cell r="CR160" t="str">
            <v>--</v>
          </cell>
          <cell r="CS160" t="str">
            <v>--</v>
          </cell>
          <cell r="CT160" t="str">
            <v>--</v>
          </cell>
          <cell r="CU160" t="str">
            <v>--</v>
          </cell>
          <cell r="CV160" t="str">
            <v>--</v>
          </cell>
          <cell r="CW160" t="str">
            <v>--</v>
          </cell>
          <cell r="CX160" t="str">
            <v>--</v>
          </cell>
          <cell r="CY160" t="str">
            <v>--</v>
          </cell>
          <cell r="CZ160" t="str">
            <v>--</v>
          </cell>
          <cell r="DA160" t="str">
            <v>--</v>
          </cell>
          <cell r="DB160" t="str">
            <v>--</v>
          </cell>
          <cell r="DC160" t="str">
            <v>--</v>
          </cell>
          <cell r="DD160" t="str">
            <v>--</v>
          </cell>
          <cell r="DE160" t="str">
            <v>--</v>
          </cell>
          <cell r="DF160" t="str">
            <v>--</v>
          </cell>
          <cell r="DG160" t="str">
            <v>--</v>
          </cell>
          <cell r="DH160" t="str">
            <v>--</v>
          </cell>
          <cell r="DI160" t="str">
            <v>--</v>
          </cell>
          <cell r="DJ160" t="str">
            <v>--</v>
          </cell>
          <cell r="DK160" t="str">
            <v>--</v>
          </cell>
          <cell r="DL160" t="str">
            <v>--</v>
          </cell>
          <cell r="DM160" t="str">
            <v>--</v>
          </cell>
          <cell r="DN160" t="str">
            <v>--</v>
          </cell>
          <cell r="DO160" t="str">
            <v>--</v>
          </cell>
          <cell r="DP160" t="str">
            <v>--</v>
          </cell>
          <cell r="DQ160" t="str">
            <v>--</v>
          </cell>
          <cell r="DR160" t="str">
            <v>--</v>
          </cell>
          <cell r="DS160" t="str">
            <v>--</v>
          </cell>
          <cell r="DT160" t="str">
            <v>--</v>
          </cell>
          <cell r="DU160" t="str">
            <v>--</v>
          </cell>
          <cell r="DV160" t="str">
            <v>--</v>
          </cell>
          <cell r="DW160" t="str">
            <v>--</v>
          </cell>
          <cell r="DX160" t="str">
            <v>--</v>
          </cell>
          <cell r="DY160" t="str">
            <v>--</v>
          </cell>
          <cell r="DZ160" t="str">
            <v>--</v>
          </cell>
          <cell r="EA160" t="str">
            <v>--</v>
          </cell>
          <cell r="EB160" t="str">
            <v>--</v>
          </cell>
          <cell r="EC160" t="str">
            <v>--</v>
          </cell>
          <cell r="ED160" t="str">
            <v>--</v>
          </cell>
          <cell r="EE160" t="str">
            <v>--</v>
          </cell>
          <cell r="EF160" t="str">
            <v>--</v>
          </cell>
          <cell r="EG160" t="str">
            <v>--</v>
          </cell>
        </row>
        <row r="161">
          <cell r="A161" t="str">
            <v>01490045White</v>
          </cell>
          <cell r="B161" t="str">
            <v>01490045C</v>
          </cell>
          <cell r="C161" t="str">
            <v>0149</v>
          </cell>
          <cell r="D161" t="str">
            <v>01490045</v>
          </cell>
          <cell r="E161" t="str">
            <v>Lawrence</v>
          </cell>
          <cell r="F161" t="str">
            <v>James F Leonard</v>
          </cell>
          <cell r="G161" t="str">
            <v>MS</v>
          </cell>
          <cell r="H161" t="str">
            <v>Lawrence - James F Leonard (01490045)</v>
          </cell>
          <cell r="I161" t="str">
            <v>White</v>
          </cell>
          <cell r="J161" t="str">
            <v>01490045White</v>
          </cell>
          <cell r="K161" t="str">
            <v>--</v>
          </cell>
          <cell r="L161" t="str">
            <v>--</v>
          </cell>
          <cell r="M161" t="str">
            <v>--</v>
          </cell>
          <cell r="N161" t="str">
            <v>--</v>
          </cell>
          <cell r="O161" t="str">
            <v>--</v>
          </cell>
          <cell r="P161" t="str">
            <v>--</v>
          </cell>
          <cell r="Q161" t="str">
            <v>--</v>
          </cell>
          <cell r="R161" t="str">
            <v>--</v>
          </cell>
          <cell r="S161" t="str">
            <v>--</v>
          </cell>
          <cell r="T161" t="str">
            <v>--</v>
          </cell>
          <cell r="U161" t="str">
            <v>--</v>
          </cell>
          <cell r="V161" t="str">
            <v>--</v>
          </cell>
          <cell r="W161" t="str">
            <v>--</v>
          </cell>
          <cell r="X161" t="str">
            <v>--</v>
          </cell>
          <cell r="Y161" t="str">
            <v>--</v>
          </cell>
          <cell r="Z161" t="str">
            <v>--</v>
          </cell>
          <cell r="AA161" t="str">
            <v>--</v>
          </cell>
          <cell r="AB161" t="str">
            <v>--</v>
          </cell>
          <cell r="AC161" t="str">
            <v>--</v>
          </cell>
          <cell r="AD161" t="str">
            <v>--</v>
          </cell>
          <cell r="AE161" t="str">
            <v>--</v>
          </cell>
          <cell r="AF161" t="str">
            <v>--</v>
          </cell>
          <cell r="AG161" t="str">
            <v>--</v>
          </cell>
          <cell r="AH161" t="str">
            <v>--</v>
          </cell>
          <cell r="AI161" t="str">
            <v>--</v>
          </cell>
          <cell r="AJ161" t="str">
            <v>--</v>
          </cell>
          <cell r="AK161" t="str">
            <v>--</v>
          </cell>
          <cell r="AL161" t="str">
            <v>--</v>
          </cell>
          <cell r="AM161" t="str">
            <v>--</v>
          </cell>
          <cell r="AN161" t="str">
            <v>--</v>
          </cell>
          <cell r="AO161" t="str">
            <v>--</v>
          </cell>
          <cell r="AP161" t="str">
            <v>--</v>
          </cell>
          <cell r="AQ161" t="str">
            <v>--</v>
          </cell>
          <cell r="AR161" t="str">
            <v>--</v>
          </cell>
          <cell r="AS161" t="str">
            <v>--</v>
          </cell>
          <cell r="AT161" t="str">
            <v>--</v>
          </cell>
          <cell r="AU161" t="str">
            <v>--</v>
          </cell>
          <cell r="AV161" t="str">
            <v>--</v>
          </cell>
          <cell r="AW161" t="str">
            <v>--</v>
          </cell>
          <cell r="AX161" t="str">
            <v>--</v>
          </cell>
          <cell r="AY161" t="str">
            <v>--</v>
          </cell>
          <cell r="AZ161" t="str">
            <v>--</v>
          </cell>
          <cell r="BA161" t="str">
            <v>--</v>
          </cell>
          <cell r="BB161" t="str">
            <v>--</v>
          </cell>
          <cell r="BC161" t="str">
            <v>--</v>
          </cell>
          <cell r="BD161" t="str">
            <v>--</v>
          </cell>
          <cell r="BE161" t="str">
            <v>--</v>
          </cell>
          <cell r="BF161" t="str">
            <v>--</v>
          </cell>
          <cell r="BG161" t="str">
            <v>--</v>
          </cell>
          <cell r="BH161" t="str">
            <v>--</v>
          </cell>
          <cell r="BI161" t="str">
            <v>--</v>
          </cell>
          <cell r="BJ161" t="str">
            <v>--</v>
          </cell>
          <cell r="BK161" t="str">
            <v>--</v>
          </cell>
          <cell r="BL161" t="str">
            <v>--</v>
          </cell>
          <cell r="BM161" t="str">
            <v>--</v>
          </cell>
          <cell r="BN161" t="str">
            <v>--</v>
          </cell>
          <cell r="BO161" t="str">
            <v>--</v>
          </cell>
          <cell r="BP161" t="str">
            <v>--</v>
          </cell>
          <cell r="BQ161" t="str">
            <v>--</v>
          </cell>
          <cell r="BR161" t="str">
            <v>--</v>
          </cell>
          <cell r="BS161" t="str">
            <v>--</v>
          </cell>
          <cell r="BT161" t="str">
            <v>--</v>
          </cell>
          <cell r="BU161" t="str">
            <v>--</v>
          </cell>
          <cell r="BV161" t="str">
            <v>--</v>
          </cell>
          <cell r="BW161" t="str">
            <v>--</v>
          </cell>
          <cell r="BX161" t="str">
            <v>--</v>
          </cell>
          <cell r="BY161" t="str">
            <v>--</v>
          </cell>
          <cell r="BZ161" t="str">
            <v>--</v>
          </cell>
          <cell r="CA161" t="str">
            <v>--</v>
          </cell>
          <cell r="CB161" t="str">
            <v>--</v>
          </cell>
          <cell r="CC161" t="str">
            <v>--</v>
          </cell>
          <cell r="CD161" t="str">
            <v>--</v>
          </cell>
          <cell r="CE161" t="str">
            <v>--</v>
          </cell>
          <cell r="CF161" t="str">
            <v>--</v>
          </cell>
          <cell r="CG161" t="str">
            <v>--</v>
          </cell>
          <cell r="CH161" t="str">
            <v>--</v>
          </cell>
          <cell r="CI161" t="str">
            <v>--</v>
          </cell>
          <cell r="CJ161" t="str">
            <v>--</v>
          </cell>
          <cell r="CK161" t="str">
            <v>--</v>
          </cell>
          <cell r="CL161" t="str">
            <v>--</v>
          </cell>
          <cell r="CM161" t="str">
            <v>--</v>
          </cell>
          <cell r="CN161" t="str">
            <v>--</v>
          </cell>
          <cell r="CO161" t="str">
            <v>--</v>
          </cell>
          <cell r="CP161" t="str">
            <v>--</v>
          </cell>
          <cell r="CQ161" t="str">
            <v>--</v>
          </cell>
          <cell r="CR161" t="str">
            <v>--</v>
          </cell>
          <cell r="CS161" t="str">
            <v>--</v>
          </cell>
          <cell r="CT161" t="str">
            <v>--</v>
          </cell>
          <cell r="CU161" t="str">
            <v>--</v>
          </cell>
          <cell r="CV161" t="str">
            <v>--</v>
          </cell>
          <cell r="CW161" t="str">
            <v>--</v>
          </cell>
          <cell r="CX161" t="str">
            <v>--</v>
          </cell>
          <cell r="CY161" t="str">
            <v>--</v>
          </cell>
          <cell r="CZ161" t="str">
            <v>--</v>
          </cell>
          <cell r="DA161" t="str">
            <v>--</v>
          </cell>
          <cell r="DB161" t="str">
            <v>--</v>
          </cell>
          <cell r="DC161" t="str">
            <v>--</v>
          </cell>
          <cell r="DD161" t="str">
            <v>--</v>
          </cell>
          <cell r="DE161" t="str">
            <v>--</v>
          </cell>
          <cell r="DF161" t="str">
            <v>--</v>
          </cell>
          <cell r="DG161" t="str">
            <v>--</v>
          </cell>
          <cell r="DH161" t="str">
            <v>--</v>
          </cell>
          <cell r="DI161" t="str">
            <v>--</v>
          </cell>
          <cell r="DJ161" t="str">
            <v>--</v>
          </cell>
          <cell r="DK161" t="str">
            <v>--</v>
          </cell>
          <cell r="DL161" t="str">
            <v>--</v>
          </cell>
          <cell r="DM161" t="str">
            <v>--</v>
          </cell>
          <cell r="DN161" t="str">
            <v>--</v>
          </cell>
          <cell r="DO161" t="str">
            <v>--</v>
          </cell>
          <cell r="DP161" t="str">
            <v>--</v>
          </cell>
          <cell r="DQ161" t="str">
            <v>--</v>
          </cell>
          <cell r="DR161" t="str">
            <v>--</v>
          </cell>
          <cell r="DS161" t="str">
            <v>--</v>
          </cell>
          <cell r="DT161" t="str">
            <v>--</v>
          </cell>
          <cell r="DU161" t="str">
            <v>--</v>
          </cell>
          <cell r="DV161" t="str">
            <v>--</v>
          </cell>
          <cell r="DW161" t="str">
            <v>--</v>
          </cell>
          <cell r="DX161" t="str">
            <v>--</v>
          </cell>
          <cell r="DY161" t="str">
            <v>--</v>
          </cell>
          <cell r="DZ161" t="str">
            <v>--</v>
          </cell>
          <cell r="EA161" t="str">
            <v>--</v>
          </cell>
          <cell r="EB161" t="str">
            <v>--</v>
          </cell>
          <cell r="EC161" t="str">
            <v>--</v>
          </cell>
          <cell r="ED161" t="str">
            <v>--</v>
          </cell>
          <cell r="EE161" t="str">
            <v>--</v>
          </cell>
          <cell r="EF161" t="str">
            <v>--</v>
          </cell>
          <cell r="EG161" t="str">
            <v>--</v>
          </cell>
        </row>
        <row r="162">
          <cell r="A162" t="str">
            <v>01490045Students w/disabilities</v>
          </cell>
          <cell r="B162" t="str">
            <v>01490045D</v>
          </cell>
          <cell r="C162" t="str">
            <v>0149</v>
          </cell>
          <cell r="D162" t="str">
            <v>01490045</v>
          </cell>
          <cell r="E162" t="str">
            <v>Lawrence</v>
          </cell>
          <cell r="F162" t="str">
            <v>James F Leonard</v>
          </cell>
          <cell r="G162" t="str">
            <v>MS</v>
          </cell>
          <cell r="H162" t="str">
            <v>Lawrence - James F Leonard (01490045)</v>
          </cell>
          <cell r="I162" t="str">
            <v>Students w/disabilities</v>
          </cell>
          <cell r="J162" t="str">
            <v>01490045Students w/disabilities</v>
          </cell>
          <cell r="K162" t="str">
            <v>--</v>
          </cell>
          <cell r="L162">
            <v>46.6</v>
          </cell>
          <cell r="M162">
            <v>51.1</v>
          </cell>
          <cell r="N162">
            <v>46.5</v>
          </cell>
          <cell r="O162">
            <v>55.5</v>
          </cell>
          <cell r="P162">
            <v>42.9</v>
          </cell>
          <cell r="Q162">
            <v>60</v>
          </cell>
          <cell r="R162">
            <v>64.400000000000006</v>
          </cell>
          <cell r="S162">
            <v>68.900000000000006</v>
          </cell>
          <cell r="T162">
            <v>73.3</v>
          </cell>
          <cell r="U162">
            <v>23.7</v>
          </cell>
          <cell r="V162">
            <v>30.1</v>
          </cell>
          <cell r="W162">
            <v>26.4</v>
          </cell>
          <cell r="X162">
            <v>36.4</v>
          </cell>
          <cell r="Y162">
            <v>24.4</v>
          </cell>
          <cell r="Z162">
            <v>42.8</v>
          </cell>
          <cell r="AA162">
            <v>49.1</v>
          </cell>
          <cell r="AB162">
            <v>55.5</v>
          </cell>
          <cell r="AC162">
            <v>61.9</v>
          </cell>
          <cell r="AD162">
            <v>25</v>
          </cell>
          <cell r="AE162">
            <v>31.3</v>
          </cell>
          <cell r="AF162">
            <v>32.9</v>
          </cell>
          <cell r="AG162">
            <v>37.5</v>
          </cell>
          <cell r="AH162">
            <v>33</v>
          </cell>
          <cell r="AI162">
            <v>43.8</v>
          </cell>
          <cell r="AJ162">
            <v>50</v>
          </cell>
          <cell r="AK162">
            <v>56.3</v>
          </cell>
          <cell r="AL162">
            <v>62.5</v>
          </cell>
          <cell r="AM162" t="str">
            <v>--</v>
          </cell>
          <cell r="AN162" t="str">
            <v>--</v>
          </cell>
          <cell r="AO162" t="str">
            <v>--</v>
          </cell>
          <cell r="AP162" t="str">
            <v>--</v>
          </cell>
          <cell r="AQ162" t="str">
            <v>--</v>
          </cell>
          <cell r="AR162" t="str">
            <v>--</v>
          </cell>
          <cell r="AS162" t="str">
            <v>--</v>
          </cell>
          <cell r="AT162" t="str">
            <v>--</v>
          </cell>
          <cell r="AU162" t="str">
            <v>--</v>
          </cell>
          <cell r="AV162" t="str">
            <v>--</v>
          </cell>
          <cell r="AW162" t="str">
            <v>--</v>
          </cell>
          <cell r="AX162" t="str">
            <v>--</v>
          </cell>
          <cell r="AY162" t="str">
            <v>--</v>
          </cell>
          <cell r="AZ162" t="str">
            <v>--</v>
          </cell>
          <cell r="BA162" t="str">
            <v>--</v>
          </cell>
          <cell r="BB162" t="str">
            <v>--</v>
          </cell>
          <cell r="BC162" t="str">
            <v>--</v>
          </cell>
          <cell r="BD162" t="str">
            <v>--</v>
          </cell>
          <cell r="BE162" t="str">
            <v>--</v>
          </cell>
          <cell r="BF162" t="str">
            <v>--</v>
          </cell>
          <cell r="BG162" t="str">
            <v>--</v>
          </cell>
          <cell r="BH162" t="str">
            <v>--</v>
          </cell>
          <cell r="BI162" t="str">
            <v>--</v>
          </cell>
          <cell r="BJ162" t="str">
            <v>--</v>
          </cell>
          <cell r="BK162" t="str">
            <v>--</v>
          </cell>
          <cell r="BL162" t="str">
            <v>--</v>
          </cell>
          <cell r="BM162" t="str">
            <v>--</v>
          </cell>
          <cell r="BN162">
            <v>29</v>
          </cell>
          <cell r="BO162">
            <v>39</v>
          </cell>
          <cell r="BP162">
            <v>31</v>
          </cell>
          <cell r="BQ162">
            <v>41</v>
          </cell>
          <cell r="BR162">
            <v>28.5</v>
          </cell>
          <cell r="BS162">
            <v>38.5</v>
          </cell>
          <cell r="BT162">
            <v>48.5</v>
          </cell>
          <cell r="BU162">
            <v>51</v>
          </cell>
          <cell r="BV162">
            <v>51</v>
          </cell>
          <cell r="BW162">
            <v>26</v>
          </cell>
          <cell r="BX162">
            <v>36</v>
          </cell>
          <cell r="BY162">
            <v>29.5</v>
          </cell>
          <cell r="BZ162">
            <v>39.5</v>
          </cell>
          <cell r="CA162">
            <v>35</v>
          </cell>
          <cell r="CB162">
            <v>45</v>
          </cell>
          <cell r="CC162">
            <v>51</v>
          </cell>
          <cell r="CD162">
            <v>51</v>
          </cell>
          <cell r="CE162">
            <v>51</v>
          </cell>
          <cell r="CF162">
            <v>50.8</v>
          </cell>
          <cell r="CG162">
            <v>45.7</v>
          </cell>
          <cell r="CH162">
            <v>49.1</v>
          </cell>
          <cell r="CI162">
            <v>44.2</v>
          </cell>
          <cell r="CJ162">
            <v>59</v>
          </cell>
          <cell r="CK162">
            <v>53.1</v>
          </cell>
          <cell r="CL162">
            <v>47.8</v>
          </cell>
          <cell r="CM162">
            <v>43</v>
          </cell>
          <cell r="CN162">
            <v>38.700000000000003</v>
          </cell>
          <cell r="CO162">
            <v>89.7</v>
          </cell>
          <cell r="CP162">
            <v>80.7</v>
          </cell>
          <cell r="CQ162">
            <v>87.3</v>
          </cell>
          <cell r="CR162">
            <v>78.599999999999994</v>
          </cell>
          <cell r="CS162">
            <v>87.5</v>
          </cell>
          <cell r="CT162">
            <v>78.8</v>
          </cell>
          <cell r="CU162">
            <v>70.900000000000006</v>
          </cell>
          <cell r="CV162">
            <v>63.8</v>
          </cell>
          <cell r="CW162">
            <v>57.4</v>
          </cell>
          <cell r="CX162">
            <v>92</v>
          </cell>
          <cell r="CY162">
            <v>82.8</v>
          </cell>
          <cell r="CZ162">
            <v>73.7</v>
          </cell>
          <cell r="DA162">
            <v>82.8</v>
          </cell>
          <cell r="DB162">
            <v>77.3</v>
          </cell>
          <cell r="DC162">
            <v>69.599999999999994</v>
          </cell>
          <cell r="DD162">
            <v>62.6</v>
          </cell>
          <cell r="DE162">
            <v>56.4</v>
          </cell>
          <cell r="DF162">
            <v>50.7</v>
          </cell>
          <cell r="DG162">
            <v>0</v>
          </cell>
          <cell r="DH162">
            <v>1</v>
          </cell>
          <cell r="DI162">
            <v>0</v>
          </cell>
          <cell r="DJ162">
            <v>1</v>
          </cell>
          <cell r="DK162">
            <v>0</v>
          </cell>
          <cell r="DL162">
            <v>1</v>
          </cell>
          <cell r="DM162">
            <v>1.1000000000000001</v>
          </cell>
          <cell r="DN162">
            <v>1.2</v>
          </cell>
          <cell r="DO162">
            <v>1.3</v>
          </cell>
          <cell r="DP162">
            <v>0</v>
          </cell>
          <cell r="DQ162">
            <v>1</v>
          </cell>
          <cell r="DR162">
            <v>0</v>
          </cell>
          <cell r="DS162">
            <v>1</v>
          </cell>
          <cell r="DT162">
            <v>0</v>
          </cell>
          <cell r="DU162">
            <v>1</v>
          </cell>
          <cell r="DV162">
            <v>1.1000000000000001</v>
          </cell>
          <cell r="DW162">
            <v>1.2</v>
          </cell>
          <cell r="DX162">
            <v>1.3</v>
          </cell>
          <cell r="DY162">
            <v>0</v>
          </cell>
          <cell r="DZ162">
            <v>1</v>
          </cell>
          <cell r="EA162">
            <v>0</v>
          </cell>
          <cell r="EB162">
            <v>1</v>
          </cell>
          <cell r="EC162">
            <v>0</v>
          </cell>
          <cell r="ED162">
            <v>1</v>
          </cell>
          <cell r="EE162">
            <v>1.1000000000000001</v>
          </cell>
          <cell r="EF162">
            <v>1.2</v>
          </cell>
          <cell r="EG162">
            <v>1.3</v>
          </cell>
        </row>
        <row r="163">
          <cell r="A163" t="str">
            <v>01490045Low income</v>
          </cell>
          <cell r="B163" t="str">
            <v>01490045F</v>
          </cell>
          <cell r="C163" t="str">
            <v>0149</v>
          </cell>
          <cell r="D163" t="str">
            <v>01490045</v>
          </cell>
          <cell r="E163" t="str">
            <v>Lawrence</v>
          </cell>
          <cell r="F163" t="str">
            <v>James F Leonard</v>
          </cell>
          <cell r="G163" t="str">
            <v>MS</v>
          </cell>
          <cell r="H163" t="str">
            <v>Lawrence - James F Leonard (01490045)</v>
          </cell>
          <cell r="I163" t="str">
            <v>Low income</v>
          </cell>
          <cell r="J163" t="str">
            <v>01490045Low income</v>
          </cell>
          <cell r="K163" t="str">
            <v>--</v>
          </cell>
          <cell r="L163">
            <v>67.5</v>
          </cell>
          <cell r="M163">
            <v>70.2</v>
          </cell>
          <cell r="N163">
            <v>63.9</v>
          </cell>
          <cell r="O163">
            <v>72.900000000000006</v>
          </cell>
          <cell r="P163">
            <v>65.599999999999994</v>
          </cell>
          <cell r="Q163">
            <v>75.599999999999994</v>
          </cell>
          <cell r="R163">
            <v>78.3</v>
          </cell>
          <cell r="S163">
            <v>81</v>
          </cell>
          <cell r="T163">
            <v>83.8</v>
          </cell>
          <cell r="U163">
            <v>42.8</v>
          </cell>
          <cell r="V163">
            <v>47.6</v>
          </cell>
          <cell r="W163">
            <v>43.6</v>
          </cell>
          <cell r="X163">
            <v>52.3</v>
          </cell>
          <cell r="Y163">
            <v>46.5</v>
          </cell>
          <cell r="Z163">
            <v>57.1</v>
          </cell>
          <cell r="AA163">
            <v>61.9</v>
          </cell>
          <cell r="AB163">
            <v>66.599999999999994</v>
          </cell>
          <cell r="AC163">
            <v>71.400000000000006</v>
          </cell>
          <cell r="AD163">
            <v>33</v>
          </cell>
          <cell r="AE163">
            <v>38.6</v>
          </cell>
          <cell r="AF163">
            <v>45.4</v>
          </cell>
          <cell r="AG163">
            <v>44.2</v>
          </cell>
          <cell r="AH163">
            <v>46.3</v>
          </cell>
          <cell r="AI163">
            <v>49.8</v>
          </cell>
          <cell r="AJ163">
            <v>55.3</v>
          </cell>
          <cell r="AK163">
            <v>60.9</v>
          </cell>
          <cell r="AL163">
            <v>66.5</v>
          </cell>
          <cell r="AM163" t="str">
            <v>--</v>
          </cell>
          <cell r="AN163" t="str">
            <v>--</v>
          </cell>
          <cell r="AO163" t="str">
            <v>--</v>
          </cell>
          <cell r="AP163" t="str">
            <v>--</v>
          </cell>
          <cell r="AQ163" t="str">
            <v>--</v>
          </cell>
          <cell r="AR163" t="str">
            <v>--</v>
          </cell>
          <cell r="AS163" t="str">
            <v>--</v>
          </cell>
          <cell r="AT163" t="str">
            <v>--</v>
          </cell>
          <cell r="AU163" t="str">
            <v>--</v>
          </cell>
          <cell r="AV163" t="str">
            <v>--</v>
          </cell>
          <cell r="AW163" t="str">
            <v>--</v>
          </cell>
          <cell r="AX163" t="str">
            <v>--</v>
          </cell>
          <cell r="AY163" t="str">
            <v>--</v>
          </cell>
          <cell r="AZ163" t="str">
            <v>--</v>
          </cell>
          <cell r="BA163" t="str">
            <v>--</v>
          </cell>
          <cell r="BB163" t="str">
            <v>--</v>
          </cell>
          <cell r="BC163" t="str">
            <v>--</v>
          </cell>
          <cell r="BD163" t="str">
            <v>--</v>
          </cell>
          <cell r="BE163" t="str">
            <v>--</v>
          </cell>
          <cell r="BF163" t="str">
            <v>--</v>
          </cell>
          <cell r="BG163" t="str">
            <v>--</v>
          </cell>
          <cell r="BH163" t="str">
            <v>--</v>
          </cell>
          <cell r="BI163" t="str">
            <v>--</v>
          </cell>
          <cell r="BJ163" t="str">
            <v>--</v>
          </cell>
          <cell r="BK163" t="str">
            <v>--</v>
          </cell>
          <cell r="BL163" t="str">
            <v>--</v>
          </cell>
          <cell r="BM163" t="str">
            <v>--</v>
          </cell>
          <cell r="BN163">
            <v>31</v>
          </cell>
          <cell r="BO163">
            <v>41</v>
          </cell>
          <cell r="BP163">
            <v>37</v>
          </cell>
          <cell r="BQ163">
            <v>47</v>
          </cell>
          <cell r="BR163">
            <v>40</v>
          </cell>
          <cell r="BS163">
            <v>50</v>
          </cell>
          <cell r="BT163">
            <v>51</v>
          </cell>
          <cell r="BU163">
            <v>51</v>
          </cell>
          <cell r="BV163">
            <v>51</v>
          </cell>
          <cell r="BW163">
            <v>25</v>
          </cell>
          <cell r="BX163">
            <v>35</v>
          </cell>
          <cell r="BY163">
            <v>31</v>
          </cell>
          <cell r="BZ163">
            <v>41</v>
          </cell>
          <cell r="CA163">
            <v>46</v>
          </cell>
          <cell r="CB163">
            <v>51</v>
          </cell>
          <cell r="CC163">
            <v>51</v>
          </cell>
          <cell r="CD163">
            <v>51</v>
          </cell>
          <cell r="CE163">
            <v>51</v>
          </cell>
          <cell r="CF163">
            <v>24.8</v>
          </cell>
          <cell r="CG163">
            <v>22.3</v>
          </cell>
          <cell r="CH163">
            <v>28.4</v>
          </cell>
          <cell r="CI163">
            <v>25.6</v>
          </cell>
          <cell r="CJ163">
            <v>25.3</v>
          </cell>
          <cell r="CK163">
            <v>22.8</v>
          </cell>
          <cell r="CL163">
            <v>20.5</v>
          </cell>
          <cell r="CM163">
            <v>18.399999999999999</v>
          </cell>
          <cell r="CN163">
            <v>16.600000000000001</v>
          </cell>
          <cell r="CO163">
            <v>56.4</v>
          </cell>
          <cell r="CP163">
            <v>50.8</v>
          </cell>
          <cell r="CQ163">
            <v>57.1</v>
          </cell>
          <cell r="CR163">
            <v>51.4</v>
          </cell>
          <cell r="CS163">
            <v>50.8</v>
          </cell>
          <cell r="CT163">
            <v>45.7</v>
          </cell>
          <cell r="CU163">
            <v>41.1</v>
          </cell>
          <cell r="CV163">
            <v>37</v>
          </cell>
          <cell r="CW163">
            <v>33.299999999999997</v>
          </cell>
          <cell r="CX163">
            <v>71.599999999999994</v>
          </cell>
          <cell r="CY163">
            <v>64.400000000000006</v>
          </cell>
          <cell r="CZ163">
            <v>49.5</v>
          </cell>
          <cell r="DA163">
            <v>44.6</v>
          </cell>
          <cell r="DB163">
            <v>49.4</v>
          </cell>
          <cell r="DC163">
            <v>44.5</v>
          </cell>
          <cell r="DD163">
            <v>40</v>
          </cell>
          <cell r="DE163">
            <v>36</v>
          </cell>
          <cell r="DF163">
            <v>32.4</v>
          </cell>
          <cell r="DG163">
            <v>0.4</v>
          </cell>
          <cell r="DH163">
            <v>0.4</v>
          </cell>
          <cell r="DI163">
            <v>1.1000000000000001</v>
          </cell>
          <cell r="DJ163">
            <v>1.2</v>
          </cell>
          <cell r="DK163">
            <v>1.6</v>
          </cell>
          <cell r="DL163">
            <v>1.8</v>
          </cell>
          <cell r="DM163">
            <v>1.9</v>
          </cell>
          <cell r="DN163">
            <v>2.1</v>
          </cell>
          <cell r="DO163">
            <v>2.2999999999999998</v>
          </cell>
          <cell r="DP163">
            <v>2.1</v>
          </cell>
          <cell r="DQ163">
            <v>2.2999999999999998</v>
          </cell>
          <cell r="DR163">
            <v>1.5</v>
          </cell>
          <cell r="DS163">
            <v>1.7</v>
          </cell>
          <cell r="DT163">
            <v>3.2</v>
          </cell>
          <cell r="DU163">
            <v>3.5</v>
          </cell>
          <cell r="DV163">
            <v>3.9</v>
          </cell>
          <cell r="DW163">
            <v>4.3</v>
          </cell>
          <cell r="DX163">
            <v>4.7</v>
          </cell>
          <cell r="DY163">
            <v>0</v>
          </cell>
          <cell r="DZ163">
            <v>1</v>
          </cell>
          <cell r="EA163">
            <v>0</v>
          </cell>
          <cell r="EB163">
            <v>1</v>
          </cell>
          <cell r="EC163">
            <v>0</v>
          </cell>
          <cell r="ED163">
            <v>1</v>
          </cell>
          <cell r="EE163">
            <v>1.1000000000000001</v>
          </cell>
          <cell r="EF163">
            <v>1.2</v>
          </cell>
          <cell r="EG163">
            <v>1.3</v>
          </cell>
        </row>
        <row r="164">
          <cell r="A164" t="str">
            <v>01490045Hispanic/Latino</v>
          </cell>
          <cell r="B164" t="str">
            <v>01490045H</v>
          </cell>
          <cell r="C164" t="str">
            <v>0149</v>
          </cell>
          <cell r="D164" t="str">
            <v>01490045</v>
          </cell>
          <cell r="E164" t="str">
            <v>Lawrence</v>
          </cell>
          <cell r="F164" t="str">
            <v>James F Leonard</v>
          </cell>
          <cell r="G164" t="str">
            <v>MS</v>
          </cell>
          <cell r="H164" t="str">
            <v>Lawrence - James F Leonard (01490045)</v>
          </cell>
          <cell r="I164" t="str">
            <v>Hispanic/Latino</v>
          </cell>
          <cell r="J164" t="str">
            <v>01490045Hispanic/Latino</v>
          </cell>
          <cell r="K164" t="str">
            <v>--</v>
          </cell>
          <cell r="L164">
            <v>67.599999999999994</v>
          </cell>
          <cell r="M164">
            <v>70.3</v>
          </cell>
          <cell r="N164">
            <v>63.7</v>
          </cell>
          <cell r="O164">
            <v>73</v>
          </cell>
          <cell r="P164">
            <v>65.7</v>
          </cell>
          <cell r="Q164">
            <v>75.7</v>
          </cell>
          <cell r="R164">
            <v>78.400000000000006</v>
          </cell>
          <cell r="S164">
            <v>81.099999999999994</v>
          </cell>
          <cell r="T164">
            <v>83.8</v>
          </cell>
          <cell r="U164">
            <v>43.2</v>
          </cell>
          <cell r="V164">
            <v>47.9</v>
          </cell>
          <cell r="W164">
            <v>43.1</v>
          </cell>
          <cell r="X164">
            <v>52.7</v>
          </cell>
          <cell r="Y164">
            <v>46.4</v>
          </cell>
          <cell r="Z164">
            <v>57.4</v>
          </cell>
          <cell r="AA164">
            <v>62.1</v>
          </cell>
          <cell r="AB164">
            <v>66.900000000000006</v>
          </cell>
          <cell r="AC164">
            <v>71.599999999999994</v>
          </cell>
          <cell r="AD164">
            <v>33.200000000000003</v>
          </cell>
          <cell r="AE164">
            <v>38.799999999999997</v>
          </cell>
          <cell r="AF164">
            <v>46</v>
          </cell>
          <cell r="AG164">
            <v>44.3</v>
          </cell>
          <cell r="AH164">
            <v>46.9</v>
          </cell>
          <cell r="AI164">
            <v>49.9</v>
          </cell>
          <cell r="AJ164">
            <v>55.5</v>
          </cell>
          <cell r="AK164">
            <v>61</v>
          </cell>
          <cell r="AL164">
            <v>66.599999999999994</v>
          </cell>
          <cell r="AM164" t="str">
            <v>--</v>
          </cell>
          <cell r="AN164" t="str">
            <v>--</v>
          </cell>
          <cell r="AO164" t="str">
            <v>--</v>
          </cell>
          <cell r="AP164" t="str">
            <v>--</v>
          </cell>
          <cell r="AQ164" t="str">
            <v>--</v>
          </cell>
          <cell r="AR164" t="str">
            <v>--</v>
          </cell>
          <cell r="AS164" t="str">
            <v>--</v>
          </cell>
          <cell r="AT164" t="str">
            <v>--</v>
          </cell>
          <cell r="AU164" t="str">
            <v>--</v>
          </cell>
          <cell r="AV164" t="str">
            <v>--</v>
          </cell>
          <cell r="AW164" t="str">
            <v>--</v>
          </cell>
          <cell r="AX164" t="str">
            <v>--</v>
          </cell>
          <cell r="AY164" t="str">
            <v>--</v>
          </cell>
          <cell r="AZ164" t="str">
            <v>--</v>
          </cell>
          <cell r="BA164" t="str">
            <v>--</v>
          </cell>
          <cell r="BB164" t="str">
            <v>--</v>
          </cell>
          <cell r="BC164" t="str">
            <v>--</v>
          </cell>
          <cell r="BD164" t="str">
            <v>--</v>
          </cell>
          <cell r="BE164" t="str">
            <v>--</v>
          </cell>
          <cell r="BF164" t="str">
            <v>--</v>
          </cell>
          <cell r="BG164" t="str">
            <v>--</v>
          </cell>
          <cell r="BH164" t="str">
            <v>--</v>
          </cell>
          <cell r="BI164" t="str">
            <v>--</v>
          </cell>
          <cell r="BJ164" t="str">
            <v>--</v>
          </cell>
          <cell r="BK164" t="str">
            <v>--</v>
          </cell>
          <cell r="BL164" t="str">
            <v>--</v>
          </cell>
          <cell r="BM164" t="str">
            <v>--</v>
          </cell>
          <cell r="BN164">
            <v>31</v>
          </cell>
          <cell r="BO164">
            <v>41</v>
          </cell>
          <cell r="BP164">
            <v>37</v>
          </cell>
          <cell r="BQ164">
            <v>47</v>
          </cell>
          <cell r="BR164">
            <v>41.5</v>
          </cell>
          <cell r="BS164">
            <v>51</v>
          </cell>
          <cell r="BT164">
            <v>51</v>
          </cell>
          <cell r="BU164">
            <v>51</v>
          </cell>
          <cell r="BV164">
            <v>51</v>
          </cell>
          <cell r="BW164">
            <v>25</v>
          </cell>
          <cell r="BX164">
            <v>35</v>
          </cell>
          <cell r="BY164">
            <v>32</v>
          </cell>
          <cell r="BZ164">
            <v>42</v>
          </cell>
          <cell r="CA164">
            <v>47</v>
          </cell>
          <cell r="CB164">
            <v>51</v>
          </cell>
          <cell r="CC164">
            <v>51</v>
          </cell>
          <cell r="CD164">
            <v>51</v>
          </cell>
          <cell r="CE164">
            <v>51</v>
          </cell>
          <cell r="CF164">
            <v>24.5</v>
          </cell>
          <cell r="CG164">
            <v>22.1</v>
          </cell>
          <cell r="CH164">
            <v>28.5</v>
          </cell>
          <cell r="CI164">
            <v>25.7</v>
          </cell>
          <cell r="CJ164">
            <v>25.8</v>
          </cell>
          <cell r="CK164">
            <v>23.2</v>
          </cell>
          <cell r="CL164">
            <v>20.9</v>
          </cell>
          <cell r="CM164">
            <v>18.8</v>
          </cell>
          <cell r="CN164">
            <v>16.899999999999999</v>
          </cell>
          <cell r="CO164">
            <v>55.7</v>
          </cell>
          <cell r="CP164">
            <v>50.1</v>
          </cell>
          <cell r="CQ164">
            <v>57.9</v>
          </cell>
          <cell r="CR164">
            <v>52.1</v>
          </cell>
          <cell r="CS164">
            <v>51.4</v>
          </cell>
          <cell r="CT164">
            <v>46.3</v>
          </cell>
          <cell r="CU164">
            <v>41.6</v>
          </cell>
          <cell r="CV164">
            <v>37.5</v>
          </cell>
          <cell r="CW164">
            <v>33.700000000000003</v>
          </cell>
          <cell r="CX164">
            <v>70.599999999999994</v>
          </cell>
          <cell r="CY164">
            <v>63.5</v>
          </cell>
          <cell r="CZ164">
            <v>48.9</v>
          </cell>
          <cell r="DA164">
            <v>44</v>
          </cell>
          <cell r="DB164">
            <v>48.3</v>
          </cell>
          <cell r="DC164">
            <v>43.5</v>
          </cell>
          <cell r="DD164">
            <v>39.1</v>
          </cell>
          <cell r="DE164">
            <v>35.200000000000003</v>
          </cell>
          <cell r="DF164">
            <v>31.7</v>
          </cell>
          <cell r="DG164">
            <v>0.4</v>
          </cell>
          <cell r="DH164">
            <v>0.4</v>
          </cell>
          <cell r="DI164">
            <v>0.8</v>
          </cell>
          <cell r="DJ164">
            <v>0.9</v>
          </cell>
          <cell r="DK164">
            <v>1.1000000000000001</v>
          </cell>
          <cell r="DL164">
            <v>1.2</v>
          </cell>
          <cell r="DM164">
            <v>1.3</v>
          </cell>
          <cell r="DN164">
            <v>1.5</v>
          </cell>
          <cell r="DO164">
            <v>1.6</v>
          </cell>
          <cell r="DP164">
            <v>1.7</v>
          </cell>
          <cell r="DQ164">
            <v>1.9</v>
          </cell>
          <cell r="DR164">
            <v>1.1000000000000001</v>
          </cell>
          <cell r="DS164">
            <v>1.2</v>
          </cell>
          <cell r="DT164">
            <v>2.7</v>
          </cell>
          <cell r="DU164">
            <v>3</v>
          </cell>
          <cell r="DV164">
            <v>3.3</v>
          </cell>
          <cell r="DW164">
            <v>3.6</v>
          </cell>
          <cell r="DX164">
            <v>4</v>
          </cell>
          <cell r="DY164">
            <v>0</v>
          </cell>
          <cell r="DZ164">
            <v>1</v>
          </cell>
          <cell r="EA164">
            <v>0</v>
          </cell>
          <cell r="EB164">
            <v>1</v>
          </cell>
          <cell r="EC164">
            <v>0</v>
          </cell>
          <cell r="ED164">
            <v>1</v>
          </cell>
          <cell r="EE164">
            <v>1.1000000000000001</v>
          </cell>
          <cell r="EF164">
            <v>1.2</v>
          </cell>
          <cell r="EG164">
            <v>1.3</v>
          </cell>
        </row>
        <row r="165">
          <cell r="A165" t="str">
            <v>01490045ELL and Former ELL</v>
          </cell>
          <cell r="B165" t="str">
            <v>01490045L</v>
          </cell>
          <cell r="C165" t="str">
            <v>0149</v>
          </cell>
          <cell r="D165" t="str">
            <v>01490045</v>
          </cell>
          <cell r="E165" t="str">
            <v>Lawrence</v>
          </cell>
          <cell r="F165" t="str">
            <v>James F Leonard</v>
          </cell>
          <cell r="G165" t="str">
            <v>MS</v>
          </cell>
          <cell r="H165" t="str">
            <v>Lawrence - James F Leonard (01490045)</v>
          </cell>
          <cell r="I165" t="str">
            <v>ELL and Former ELL</v>
          </cell>
          <cell r="J165" t="str">
            <v>01490045ELL and Former ELL</v>
          </cell>
          <cell r="K165" t="str">
            <v>--</v>
          </cell>
          <cell r="L165">
            <v>49.6</v>
          </cell>
          <cell r="M165">
            <v>53.8</v>
          </cell>
          <cell r="N165">
            <v>42.9</v>
          </cell>
          <cell r="O165">
            <v>58</v>
          </cell>
          <cell r="P165">
            <v>44.9</v>
          </cell>
          <cell r="Q165">
            <v>62.2</v>
          </cell>
          <cell r="R165">
            <v>66.400000000000006</v>
          </cell>
          <cell r="S165">
            <v>70.599999999999994</v>
          </cell>
          <cell r="T165">
            <v>74.8</v>
          </cell>
          <cell r="U165">
            <v>31.4</v>
          </cell>
          <cell r="V165">
            <v>37.1</v>
          </cell>
          <cell r="W165">
            <v>32.4</v>
          </cell>
          <cell r="X165">
            <v>42.8</v>
          </cell>
          <cell r="Y165">
            <v>41.8</v>
          </cell>
          <cell r="Z165">
            <v>48.6</v>
          </cell>
          <cell r="AA165">
            <v>54.3</v>
          </cell>
          <cell r="AB165">
            <v>60</v>
          </cell>
          <cell r="AC165">
            <v>65.7</v>
          </cell>
          <cell r="AD165">
            <v>25</v>
          </cell>
          <cell r="AE165">
            <v>31.3</v>
          </cell>
          <cell r="AF165">
            <v>31.3</v>
          </cell>
          <cell r="AG165">
            <v>37.5</v>
          </cell>
          <cell r="AH165">
            <v>32.700000000000003</v>
          </cell>
          <cell r="AI165">
            <v>43.8</v>
          </cell>
          <cell r="AJ165">
            <v>50</v>
          </cell>
          <cell r="AK165">
            <v>56.3</v>
          </cell>
          <cell r="AL165">
            <v>62.5</v>
          </cell>
          <cell r="AM165" t="str">
            <v>--</v>
          </cell>
          <cell r="AN165" t="str">
            <v>--</v>
          </cell>
          <cell r="AO165" t="str">
            <v>--</v>
          </cell>
          <cell r="AP165" t="str">
            <v>--</v>
          </cell>
          <cell r="AQ165" t="str">
            <v>--</v>
          </cell>
          <cell r="AR165" t="str">
            <v>--</v>
          </cell>
          <cell r="AS165" t="str">
            <v>--</v>
          </cell>
          <cell r="AT165" t="str">
            <v>--</v>
          </cell>
          <cell r="AU165" t="str">
            <v>--</v>
          </cell>
          <cell r="AV165" t="str">
            <v>--</v>
          </cell>
          <cell r="AW165" t="str">
            <v>--</v>
          </cell>
          <cell r="AX165" t="str">
            <v>--</v>
          </cell>
          <cell r="AY165" t="str">
            <v>--</v>
          </cell>
          <cell r="AZ165" t="str">
            <v>--</v>
          </cell>
          <cell r="BA165" t="str">
            <v>--</v>
          </cell>
          <cell r="BB165" t="str">
            <v>--</v>
          </cell>
          <cell r="BC165" t="str">
            <v>--</v>
          </cell>
          <cell r="BD165" t="str">
            <v>--</v>
          </cell>
          <cell r="BE165" t="str">
            <v>--</v>
          </cell>
          <cell r="BF165" t="str">
            <v>--</v>
          </cell>
          <cell r="BG165" t="str">
            <v>--</v>
          </cell>
          <cell r="BH165" t="str">
            <v>--</v>
          </cell>
          <cell r="BI165" t="str">
            <v>--</v>
          </cell>
          <cell r="BJ165" t="str">
            <v>--</v>
          </cell>
          <cell r="BK165" t="str">
            <v>--</v>
          </cell>
          <cell r="BL165" t="str">
            <v>--</v>
          </cell>
          <cell r="BM165" t="str">
            <v>--</v>
          </cell>
          <cell r="BN165">
            <v>45.5</v>
          </cell>
          <cell r="BO165">
            <v>51</v>
          </cell>
          <cell r="BP165">
            <v>39</v>
          </cell>
          <cell r="BQ165">
            <v>49</v>
          </cell>
          <cell r="BR165">
            <v>43.5</v>
          </cell>
          <cell r="BS165">
            <v>51</v>
          </cell>
          <cell r="BT165">
            <v>51</v>
          </cell>
          <cell r="BU165">
            <v>51</v>
          </cell>
          <cell r="BV165">
            <v>51</v>
          </cell>
          <cell r="BW165">
            <v>37</v>
          </cell>
          <cell r="BX165">
            <v>47</v>
          </cell>
          <cell r="BY165">
            <v>45</v>
          </cell>
          <cell r="BZ165">
            <v>51</v>
          </cell>
          <cell r="CA165">
            <v>74.5</v>
          </cell>
          <cell r="CB165">
            <v>51</v>
          </cell>
          <cell r="CC165">
            <v>51</v>
          </cell>
          <cell r="CD165">
            <v>51</v>
          </cell>
          <cell r="CE165">
            <v>51</v>
          </cell>
          <cell r="CF165">
            <v>50.8</v>
          </cell>
          <cell r="CG165">
            <v>45.7</v>
          </cell>
          <cell r="CH165">
            <v>57.1</v>
          </cell>
          <cell r="CI165">
            <v>51.4</v>
          </cell>
          <cell r="CJ165">
            <v>53.1</v>
          </cell>
          <cell r="CK165">
            <v>47.8</v>
          </cell>
          <cell r="CL165">
            <v>43</v>
          </cell>
          <cell r="CM165">
            <v>38.700000000000003</v>
          </cell>
          <cell r="CN165">
            <v>34.799999999999997</v>
          </cell>
          <cell r="CO165">
            <v>76.3</v>
          </cell>
          <cell r="CP165">
            <v>68.7</v>
          </cell>
          <cell r="CQ165">
            <v>72.099999999999994</v>
          </cell>
          <cell r="CR165">
            <v>64.900000000000006</v>
          </cell>
          <cell r="CS165">
            <v>55.1</v>
          </cell>
          <cell r="CT165">
            <v>49.6</v>
          </cell>
          <cell r="CU165">
            <v>44.6</v>
          </cell>
          <cell r="CV165">
            <v>40.200000000000003</v>
          </cell>
          <cell r="CW165">
            <v>36.200000000000003</v>
          </cell>
          <cell r="CX165">
            <v>86.4</v>
          </cell>
          <cell r="CY165">
            <v>77.8</v>
          </cell>
          <cell r="CZ165">
            <v>80</v>
          </cell>
          <cell r="DA165">
            <v>72</v>
          </cell>
          <cell r="DB165">
            <v>76.900000000000006</v>
          </cell>
          <cell r="DC165">
            <v>69.2</v>
          </cell>
          <cell r="DD165">
            <v>62.3</v>
          </cell>
          <cell r="DE165">
            <v>56.1</v>
          </cell>
          <cell r="DF165">
            <v>50.5</v>
          </cell>
          <cell r="DG165">
            <v>1.7</v>
          </cell>
          <cell r="DH165">
            <v>1.9</v>
          </cell>
          <cell r="DI165">
            <v>0</v>
          </cell>
          <cell r="DJ165">
            <v>1</v>
          </cell>
          <cell r="DK165">
            <v>0</v>
          </cell>
          <cell r="DL165">
            <v>1</v>
          </cell>
          <cell r="DM165">
            <v>1.1000000000000001</v>
          </cell>
          <cell r="DN165">
            <v>1.2</v>
          </cell>
          <cell r="DO165">
            <v>1.3</v>
          </cell>
          <cell r="DP165">
            <v>0</v>
          </cell>
          <cell r="DQ165">
            <v>1</v>
          </cell>
          <cell r="DR165">
            <v>1.5</v>
          </cell>
          <cell r="DS165">
            <v>1.7</v>
          </cell>
          <cell r="DT165">
            <v>0</v>
          </cell>
          <cell r="DU165">
            <v>1</v>
          </cell>
          <cell r="DV165">
            <v>1.1000000000000001</v>
          </cell>
          <cell r="DW165">
            <v>1.2</v>
          </cell>
          <cell r="DX165">
            <v>1.3</v>
          </cell>
          <cell r="DY165">
            <v>0</v>
          </cell>
          <cell r="DZ165">
            <v>1</v>
          </cell>
          <cell r="EA165">
            <v>0</v>
          </cell>
          <cell r="EB165">
            <v>1</v>
          </cell>
          <cell r="EC165">
            <v>0</v>
          </cell>
          <cell r="ED165">
            <v>1</v>
          </cell>
          <cell r="EE165">
            <v>1.1000000000000001</v>
          </cell>
          <cell r="EF165">
            <v>1.2</v>
          </cell>
          <cell r="EG165">
            <v>1.3</v>
          </cell>
        </row>
        <row r="166">
          <cell r="A166" t="str">
            <v>01490045Multi-race, Non-Hisp./Lat.</v>
          </cell>
          <cell r="B166" t="str">
            <v>01490045M</v>
          </cell>
          <cell r="C166" t="str">
            <v>0149</v>
          </cell>
          <cell r="D166" t="str">
            <v>01490045</v>
          </cell>
          <cell r="E166" t="str">
            <v>Lawrence</v>
          </cell>
          <cell r="F166" t="str">
            <v>James F Leonard</v>
          </cell>
          <cell r="G166" t="str">
            <v>MS</v>
          </cell>
          <cell r="H166" t="str">
            <v>Lawrence - James F Leonard (01490045)</v>
          </cell>
          <cell r="I166" t="str">
            <v>Multi-race, Non-Hisp./Lat.</v>
          </cell>
          <cell r="J166" t="str">
            <v>01490045Multi-race, Non-Hisp./Lat.</v>
          </cell>
          <cell r="K166" t="str">
            <v>Level 4</v>
          </cell>
          <cell r="L166" t="str">
            <v>--</v>
          </cell>
          <cell r="M166" t="str">
            <v>--</v>
          </cell>
          <cell r="N166" t="str">
            <v>--</v>
          </cell>
          <cell r="O166" t="str">
            <v>--</v>
          </cell>
          <cell r="P166" t="str">
            <v>--</v>
          </cell>
          <cell r="Q166" t="str">
            <v>--</v>
          </cell>
          <cell r="R166" t="str">
            <v>--</v>
          </cell>
          <cell r="S166" t="str">
            <v>--</v>
          </cell>
          <cell r="T166" t="str">
            <v>--</v>
          </cell>
          <cell r="U166" t="str">
            <v>--</v>
          </cell>
          <cell r="V166" t="str">
            <v>--</v>
          </cell>
          <cell r="W166" t="str">
            <v>--</v>
          </cell>
          <cell r="X166" t="str">
            <v>--</v>
          </cell>
          <cell r="Y166" t="str">
            <v>--</v>
          </cell>
          <cell r="Z166" t="str">
            <v>--</v>
          </cell>
          <cell r="AA166" t="str">
            <v>--</v>
          </cell>
          <cell r="AB166" t="str">
            <v>--</v>
          </cell>
          <cell r="AC166" t="str">
            <v>--</v>
          </cell>
          <cell r="AD166" t="str">
            <v>--</v>
          </cell>
          <cell r="AE166" t="str">
            <v>--</v>
          </cell>
          <cell r="AF166" t="str">
            <v>--</v>
          </cell>
          <cell r="AG166" t="str">
            <v>--</v>
          </cell>
          <cell r="AH166" t="str">
            <v>--</v>
          </cell>
          <cell r="AI166" t="str">
            <v>--</v>
          </cell>
          <cell r="AJ166" t="str">
            <v>--</v>
          </cell>
          <cell r="AK166" t="str">
            <v>--</v>
          </cell>
          <cell r="AL166" t="str">
            <v>--</v>
          </cell>
          <cell r="AM166" t="str">
            <v>--</v>
          </cell>
          <cell r="AN166" t="str">
            <v>--</v>
          </cell>
          <cell r="AO166" t="str">
            <v>--</v>
          </cell>
          <cell r="AP166" t="str">
            <v>--</v>
          </cell>
          <cell r="AQ166" t="str">
            <v>--</v>
          </cell>
          <cell r="AR166" t="str">
            <v>--</v>
          </cell>
          <cell r="AS166" t="str">
            <v>--</v>
          </cell>
          <cell r="AT166" t="str">
            <v>--</v>
          </cell>
          <cell r="AU166" t="str">
            <v>--</v>
          </cell>
          <cell r="AV166" t="str">
            <v>--</v>
          </cell>
          <cell r="AW166" t="str">
            <v>--</v>
          </cell>
          <cell r="AX166" t="str">
            <v>--</v>
          </cell>
          <cell r="AY166" t="str">
            <v>--</v>
          </cell>
          <cell r="AZ166" t="str">
            <v>--</v>
          </cell>
          <cell r="BA166" t="str">
            <v>--</v>
          </cell>
          <cell r="BB166" t="str">
            <v>--</v>
          </cell>
          <cell r="BC166" t="str">
            <v>--</v>
          </cell>
          <cell r="BD166" t="str">
            <v>--</v>
          </cell>
          <cell r="BE166" t="str">
            <v>--</v>
          </cell>
          <cell r="BF166" t="str">
            <v>--</v>
          </cell>
          <cell r="BG166" t="str">
            <v>--</v>
          </cell>
          <cell r="BH166" t="str">
            <v>--</v>
          </cell>
          <cell r="BI166" t="str">
            <v>--</v>
          </cell>
          <cell r="BJ166" t="str">
            <v>--</v>
          </cell>
          <cell r="BK166" t="str">
            <v>--</v>
          </cell>
          <cell r="BL166" t="str">
            <v>--</v>
          </cell>
          <cell r="BM166" t="str">
            <v>--</v>
          </cell>
          <cell r="BN166" t="str">
            <v>--</v>
          </cell>
          <cell r="BO166" t="str">
            <v>--</v>
          </cell>
          <cell r="BP166" t="str">
            <v>--</v>
          </cell>
          <cell r="BQ166" t="str">
            <v>--</v>
          </cell>
          <cell r="BR166" t="str">
            <v>--</v>
          </cell>
          <cell r="BS166" t="str">
            <v>--</v>
          </cell>
          <cell r="BT166" t="str">
            <v>--</v>
          </cell>
          <cell r="BU166" t="str">
            <v>--</v>
          </cell>
          <cell r="BV166" t="str">
            <v>--</v>
          </cell>
          <cell r="BW166" t="str">
            <v>--</v>
          </cell>
          <cell r="BX166" t="str">
            <v>--</v>
          </cell>
          <cell r="BY166" t="str">
            <v>--</v>
          </cell>
          <cell r="BZ166" t="str">
            <v>--</v>
          </cell>
          <cell r="CA166" t="str">
            <v>--</v>
          </cell>
          <cell r="CB166" t="str">
            <v>--</v>
          </cell>
          <cell r="CC166" t="str">
            <v>--</v>
          </cell>
          <cell r="CD166" t="str">
            <v>--</v>
          </cell>
          <cell r="CE166" t="str">
            <v>--</v>
          </cell>
          <cell r="CF166" t="str">
            <v>--</v>
          </cell>
          <cell r="CG166" t="str">
            <v>--</v>
          </cell>
          <cell r="CH166" t="str">
            <v>--</v>
          </cell>
          <cell r="CI166" t="str">
            <v>--</v>
          </cell>
          <cell r="CJ166" t="str">
            <v>--</v>
          </cell>
          <cell r="CK166" t="str">
            <v>--</v>
          </cell>
          <cell r="CL166" t="str">
            <v>--</v>
          </cell>
          <cell r="CM166" t="str">
            <v>--</v>
          </cell>
          <cell r="CN166" t="str">
            <v>--</v>
          </cell>
          <cell r="CO166" t="str">
            <v>--</v>
          </cell>
          <cell r="CP166" t="str">
            <v>--</v>
          </cell>
          <cell r="CQ166" t="str">
            <v>--</v>
          </cell>
          <cell r="CR166" t="str">
            <v>--</v>
          </cell>
          <cell r="CS166" t="str">
            <v>--</v>
          </cell>
          <cell r="CT166" t="str">
            <v>--</v>
          </cell>
          <cell r="CU166" t="str">
            <v>--</v>
          </cell>
          <cell r="CV166" t="str">
            <v>--</v>
          </cell>
          <cell r="CW166" t="str">
            <v>--</v>
          </cell>
          <cell r="CX166" t="str">
            <v>--</v>
          </cell>
          <cell r="CY166" t="str">
            <v>--</v>
          </cell>
          <cell r="CZ166" t="str">
            <v>--</v>
          </cell>
          <cell r="DA166" t="str">
            <v>--</v>
          </cell>
          <cell r="DB166" t="str">
            <v>--</v>
          </cell>
          <cell r="DC166" t="str">
            <v>--</v>
          </cell>
          <cell r="DD166" t="str">
            <v>--</v>
          </cell>
          <cell r="DE166" t="str">
            <v>--</v>
          </cell>
          <cell r="DF166" t="str">
            <v>--</v>
          </cell>
          <cell r="DG166" t="str">
            <v>--</v>
          </cell>
          <cell r="DH166" t="str">
            <v>--</v>
          </cell>
          <cell r="DI166" t="str">
            <v>--</v>
          </cell>
          <cell r="DJ166" t="str">
            <v>--</v>
          </cell>
          <cell r="DK166" t="str">
            <v>--</v>
          </cell>
          <cell r="DL166" t="str">
            <v>--</v>
          </cell>
          <cell r="DM166" t="str">
            <v>--</v>
          </cell>
          <cell r="DN166" t="str">
            <v>--</v>
          </cell>
          <cell r="DO166" t="str">
            <v>--</v>
          </cell>
          <cell r="DP166" t="str">
            <v>--</v>
          </cell>
          <cell r="DQ166" t="str">
            <v>--</v>
          </cell>
          <cell r="DR166" t="str">
            <v>--</v>
          </cell>
          <cell r="DS166" t="str">
            <v>--</v>
          </cell>
          <cell r="DT166" t="str">
            <v>--</v>
          </cell>
          <cell r="DU166" t="str">
            <v>--</v>
          </cell>
          <cell r="DV166" t="str">
            <v>--</v>
          </cell>
          <cell r="DW166" t="str">
            <v>--</v>
          </cell>
          <cell r="DX166" t="str">
            <v>--</v>
          </cell>
          <cell r="DY166" t="str">
            <v>--</v>
          </cell>
          <cell r="DZ166" t="str">
            <v>--</v>
          </cell>
          <cell r="EA166" t="str">
            <v>--</v>
          </cell>
          <cell r="EB166" t="str">
            <v>--</v>
          </cell>
          <cell r="EC166" t="str">
            <v>--</v>
          </cell>
          <cell r="ED166" t="str">
            <v>--</v>
          </cell>
          <cell r="EE166" t="str">
            <v>--</v>
          </cell>
          <cell r="EF166" t="str">
            <v>--</v>
          </cell>
          <cell r="EG166" t="str">
            <v>--</v>
          </cell>
        </row>
        <row r="167">
          <cell r="A167" t="str">
            <v>01490045Amer. Ind. or Alaska Nat.</v>
          </cell>
          <cell r="B167" t="str">
            <v>01490045N</v>
          </cell>
          <cell r="C167" t="str">
            <v>0149</v>
          </cell>
          <cell r="D167" t="str">
            <v>01490045</v>
          </cell>
          <cell r="E167" t="str">
            <v>Lawrence</v>
          </cell>
          <cell r="F167" t="str">
            <v>James F Leonard</v>
          </cell>
          <cell r="G167" t="str">
            <v>MS</v>
          </cell>
          <cell r="H167" t="str">
            <v>Lawrence - James F Leonard (01490045)</v>
          </cell>
          <cell r="I167" t="str">
            <v>Amer. Ind. or Alaska Nat.</v>
          </cell>
          <cell r="J167" t="str">
            <v>01490045Amer. Ind. or Alaska Nat.</v>
          </cell>
          <cell r="K167" t="str">
            <v>--</v>
          </cell>
          <cell r="L167" t="str">
            <v>--</v>
          </cell>
          <cell r="M167" t="str">
            <v>--</v>
          </cell>
          <cell r="N167" t="str">
            <v>--</v>
          </cell>
          <cell r="O167" t="str">
            <v>--</v>
          </cell>
          <cell r="P167" t="str">
            <v>--</v>
          </cell>
          <cell r="Q167" t="str">
            <v>--</v>
          </cell>
          <cell r="R167" t="str">
            <v>--</v>
          </cell>
          <cell r="S167" t="str">
            <v>--</v>
          </cell>
          <cell r="T167" t="str">
            <v>--</v>
          </cell>
          <cell r="U167" t="str">
            <v>--</v>
          </cell>
          <cell r="V167" t="str">
            <v>--</v>
          </cell>
          <cell r="W167" t="str">
            <v>--</v>
          </cell>
          <cell r="X167" t="str">
            <v>--</v>
          </cell>
          <cell r="Y167" t="str">
            <v>--</v>
          </cell>
          <cell r="Z167" t="str">
            <v>--</v>
          </cell>
          <cell r="AA167" t="str">
            <v>--</v>
          </cell>
          <cell r="AB167" t="str">
            <v>--</v>
          </cell>
          <cell r="AC167" t="str">
            <v>--</v>
          </cell>
          <cell r="AD167" t="str">
            <v>--</v>
          </cell>
          <cell r="AE167" t="str">
            <v>--</v>
          </cell>
          <cell r="AF167" t="str">
            <v>--</v>
          </cell>
          <cell r="AG167" t="str">
            <v>--</v>
          </cell>
          <cell r="AH167" t="str">
            <v>--</v>
          </cell>
          <cell r="AI167" t="str">
            <v>--</v>
          </cell>
          <cell r="AJ167" t="str">
            <v>--</v>
          </cell>
          <cell r="AK167" t="str">
            <v>--</v>
          </cell>
          <cell r="AL167" t="str">
            <v>--</v>
          </cell>
          <cell r="AM167" t="str">
            <v>--</v>
          </cell>
          <cell r="AN167" t="str">
            <v>--</v>
          </cell>
          <cell r="AO167" t="str">
            <v>--</v>
          </cell>
          <cell r="AP167" t="str">
            <v>--</v>
          </cell>
          <cell r="AQ167" t="str">
            <v>--</v>
          </cell>
          <cell r="AR167" t="str">
            <v>--</v>
          </cell>
          <cell r="AS167" t="str">
            <v>--</v>
          </cell>
          <cell r="AT167" t="str">
            <v>--</v>
          </cell>
          <cell r="AU167" t="str">
            <v>--</v>
          </cell>
          <cell r="AV167" t="str">
            <v>--</v>
          </cell>
          <cell r="AW167" t="str">
            <v>--</v>
          </cell>
          <cell r="AX167" t="str">
            <v>--</v>
          </cell>
          <cell r="AY167" t="str">
            <v>--</v>
          </cell>
          <cell r="AZ167" t="str">
            <v>--</v>
          </cell>
          <cell r="BA167" t="str">
            <v>--</v>
          </cell>
          <cell r="BB167" t="str">
            <v>--</v>
          </cell>
          <cell r="BC167" t="str">
            <v>--</v>
          </cell>
          <cell r="BD167" t="str">
            <v>--</v>
          </cell>
          <cell r="BE167" t="str">
            <v>--</v>
          </cell>
          <cell r="BF167" t="str">
            <v>--</v>
          </cell>
          <cell r="BG167" t="str">
            <v>--</v>
          </cell>
          <cell r="BH167" t="str">
            <v>--</v>
          </cell>
          <cell r="BI167" t="str">
            <v>--</v>
          </cell>
          <cell r="BJ167" t="str">
            <v>--</v>
          </cell>
          <cell r="BK167" t="str">
            <v>--</v>
          </cell>
          <cell r="BL167" t="str">
            <v>--</v>
          </cell>
          <cell r="BM167" t="str">
            <v>--</v>
          </cell>
          <cell r="BN167" t="str">
            <v>--</v>
          </cell>
          <cell r="BO167" t="str">
            <v>--</v>
          </cell>
          <cell r="BP167" t="str">
            <v>--</v>
          </cell>
          <cell r="BQ167" t="str">
            <v>--</v>
          </cell>
          <cell r="BR167" t="str">
            <v>--</v>
          </cell>
          <cell r="BS167" t="str">
            <v>--</v>
          </cell>
          <cell r="BT167" t="str">
            <v>--</v>
          </cell>
          <cell r="BU167" t="str">
            <v>--</v>
          </cell>
          <cell r="BV167" t="str">
            <v>--</v>
          </cell>
          <cell r="BW167" t="str">
            <v>--</v>
          </cell>
          <cell r="BX167" t="str">
            <v>--</v>
          </cell>
          <cell r="BY167" t="str">
            <v>--</v>
          </cell>
          <cell r="BZ167" t="str">
            <v>--</v>
          </cell>
          <cell r="CA167" t="str">
            <v>--</v>
          </cell>
          <cell r="CB167" t="str">
            <v>--</v>
          </cell>
          <cell r="CC167" t="str">
            <v>--</v>
          </cell>
          <cell r="CD167" t="str">
            <v>--</v>
          </cell>
          <cell r="CE167" t="str">
            <v>--</v>
          </cell>
          <cell r="CF167" t="str">
            <v>--</v>
          </cell>
          <cell r="CG167" t="str">
            <v>--</v>
          </cell>
          <cell r="CH167" t="str">
            <v>--</v>
          </cell>
          <cell r="CI167" t="str">
            <v>--</v>
          </cell>
          <cell r="CJ167" t="str">
            <v>--</v>
          </cell>
          <cell r="CK167" t="str">
            <v>--</v>
          </cell>
          <cell r="CL167" t="str">
            <v>--</v>
          </cell>
          <cell r="CM167" t="str">
            <v>--</v>
          </cell>
          <cell r="CN167" t="str">
            <v>--</v>
          </cell>
          <cell r="CO167" t="str">
            <v>--</v>
          </cell>
          <cell r="CP167" t="str">
            <v>--</v>
          </cell>
          <cell r="CQ167" t="str">
            <v>--</v>
          </cell>
          <cell r="CR167" t="str">
            <v>--</v>
          </cell>
          <cell r="CS167" t="str">
            <v>--</v>
          </cell>
          <cell r="CT167" t="str">
            <v>--</v>
          </cell>
          <cell r="CU167" t="str">
            <v>--</v>
          </cell>
          <cell r="CV167" t="str">
            <v>--</v>
          </cell>
          <cell r="CW167" t="str">
            <v>--</v>
          </cell>
          <cell r="CX167" t="str">
            <v>--</v>
          </cell>
          <cell r="CY167" t="str">
            <v>--</v>
          </cell>
          <cell r="CZ167" t="str">
            <v>--</v>
          </cell>
          <cell r="DA167" t="str">
            <v>--</v>
          </cell>
          <cell r="DB167" t="str">
            <v>--</v>
          </cell>
          <cell r="DC167" t="str">
            <v>--</v>
          </cell>
          <cell r="DD167" t="str">
            <v>--</v>
          </cell>
          <cell r="DE167" t="str">
            <v>--</v>
          </cell>
          <cell r="DF167" t="str">
            <v>--</v>
          </cell>
          <cell r="DG167" t="str">
            <v>--</v>
          </cell>
          <cell r="DH167" t="str">
            <v>--</v>
          </cell>
          <cell r="DI167" t="str">
            <v>--</v>
          </cell>
          <cell r="DJ167" t="str">
            <v>--</v>
          </cell>
          <cell r="DK167" t="str">
            <v>--</v>
          </cell>
          <cell r="DL167" t="str">
            <v>--</v>
          </cell>
          <cell r="DM167" t="str">
            <v>--</v>
          </cell>
          <cell r="DN167" t="str">
            <v>--</v>
          </cell>
          <cell r="DO167" t="str">
            <v>--</v>
          </cell>
          <cell r="DP167" t="str">
            <v>--</v>
          </cell>
          <cell r="DQ167" t="str">
            <v>--</v>
          </cell>
          <cell r="DR167" t="str">
            <v>--</v>
          </cell>
          <cell r="DS167" t="str">
            <v>--</v>
          </cell>
          <cell r="DT167" t="str">
            <v>--</v>
          </cell>
          <cell r="DU167" t="str">
            <v>--</v>
          </cell>
          <cell r="DV167" t="str">
            <v>--</v>
          </cell>
          <cell r="DW167" t="str">
            <v>--</v>
          </cell>
          <cell r="DX167" t="str">
            <v>--</v>
          </cell>
          <cell r="DY167" t="str">
            <v>--</v>
          </cell>
          <cell r="DZ167" t="str">
            <v>--</v>
          </cell>
          <cell r="EA167" t="str">
            <v>--</v>
          </cell>
          <cell r="EB167" t="str">
            <v>--</v>
          </cell>
          <cell r="EC167" t="str">
            <v>--</v>
          </cell>
          <cell r="ED167" t="str">
            <v>--</v>
          </cell>
          <cell r="EE167" t="str">
            <v>--</v>
          </cell>
          <cell r="EF167" t="str">
            <v>--</v>
          </cell>
          <cell r="EG167" t="str">
            <v>--</v>
          </cell>
        </row>
        <row r="168">
          <cell r="A168" t="str">
            <v>01490045Nat. Haw. or Pacif. Isl.</v>
          </cell>
          <cell r="B168" t="str">
            <v>01490045P</v>
          </cell>
          <cell r="C168" t="str">
            <v>0149</v>
          </cell>
          <cell r="D168" t="str">
            <v>01490045</v>
          </cell>
          <cell r="E168" t="str">
            <v>Lawrence</v>
          </cell>
          <cell r="F168" t="str">
            <v>James F Leonard</v>
          </cell>
          <cell r="G168" t="str">
            <v>MS</v>
          </cell>
          <cell r="H168" t="str">
            <v>Lawrence - James F Leonard (01490045)</v>
          </cell>
          <cell r="I168" t="str">
            <v>Nat. Haw. or Pacif. Isl.</v>
          </cell>
          <cell r="J168" t="str">
            <v>01490045Nat. Haw. or Pacif. Isl.</v>
          </cell>
          <cell r="K168" t="str">
            <v>Level 4</v>
          </cell>
          <cell r="L168" t="str">
            <v>--</v>
          </cell>
          <cell r="M168" t="str">
            <v>--</v>
          </cell>
          <cell r="N168" t="str">
            <v>--</v>
          </cell>
          <cell r="O168" t="str">
            <v>--</v>
          </cell>
          <cell r="P168" t="str">
            <v>--</v>
          </cell>
          <cell r="Q168" t="str">
            <v>--</v>
          </cell>
          <cell r="R168" t="str">
            <v>--</v>
          </cell>
          <cell r="S168" t="str">
            <v>--</v>
          </cell>
          <cell r="T168" t="str">
            <v>--</v>
          </cell>
          <cell r="U168" t="str">
            <v>--</v>
          </cell>
          <cell r="V168" t="str">
            <v>--</v>
          </cell>
          <cell r="W168" t="str">
            <v>--</v>
          </cell>
          <cell r="X168" t="str">
            <v>--</v>
          </cell>
          <cell r="Y168" t="str">
            <v>--</v>
          </cell>
          <cell r="Z168" t="str">
            <v>--</v>
          </cell>
          <cell r="AA168" t="str">
            <v>--</v>
          </cell>
          <cell r="AB168" t="str">
            <v>--</v>
          </cell>
          <cell r="AC168" t="str">
            <v>--</v>
          </cell>
          <cell r="AD168" t="str">
            <v>--</v>
          </cell>
          <cell r="AE168" t="str">
            <v>--</v>
          </cell>
          <cell r="AF168" t="str">
            <v>--</v>
          </cell>
          <cell r="AG168" t="str">
            <v>--</v>
          </cell>
          <cell r="AH168" t="str">
            <v>--</v>
          </cell>
          <cell r="AI168" t="str">
            <v>--</v>
          </cell>
          <cell r="AJ168" t="str">
            <v>--</v>
          </cell>
          <cell r="AK168" t="str">
            <v>--</v>
          </cell>
          <cell r="AL168" t="str">
            <v>--</v>
          </cell>
          <cell r="AM168" t="str">
            <v>--</v>
          </cell>
          <cell r="AN168" t="str">
            <v>--</v>
          </cell>
          <cell r="AO168" t="str">
            <v>--</v>
          </cell>
          <cell r="AP168" t="str">
            <v>--</v>
          </cell>
          <cell r="AQ168" t="str">
            <v>--</v>
          </cell>
          <cell r="AR168" t="str">
            <v>--</v>
          </cell>
          <cell r="AS168" t="str">
            <v>--</v>
          </cell>
          <cell r="AT168" t="str">
            <v>--</v>
          </cell>
          <cell r="AU168" t="str">
            <v>--</v>
          </cell>
          <cell r="AV168" t="str">
            <v>--</v>
          </cell>
          <cell r="AW168" t="str">
            <v>--</v>
          </cell>
          <cell r="AX168" t="str">
            <v>--</v>
          </cell>
          <cell r="AY168" t="str">
            <v>--</v>
          </cell>
          <cell r="AZ168" t="str">
            <v>--</v>
          </cell>
          <cell r="BA168" t="str">
            <v>--</v>
          </cell>
          <cell r="BB168" t="str">
            <v>--</v>
          </cell>
          <cell r="BC168" t="str">
            <v>--</v>
          </cell>
          <cell r="BD168" t="str">
            <v>--</v>
          </cell>
          <cell r="BE168" t="str">
            <v>--</v>
          </cell>
          <cell r="BF168" t="str">
            <v>--</v>
          </cell>
          <cell r="BG168" t="str">
            <v>--</v>
          </cell>
          <cell r="BH168" t="str">
            <v>--</v>
          </cell>
          <cell r="BI168" t="str">
            <v>--</v>
          </cell>
          <cell r="BJ168" t="str">
            <v>--</v>
          </cell>
          <cell r="BK168" t="str">
            <v>--</v>
          </cell>
          <cell r="BL168" t="str">
            <v>--</v>
          </cell>
          <cell r="BM168" t="str">
            <v>--</v>
          </cell>
          <cell r="BN168" t="str">
            <v>--</v>
          </cell>
          <cell r="BO168" t="str">
            <v>--</v>
          </cell>
          <cell r="BP168" t="str">
            <v>--</v>
          </cell>
          <cell r="BQ168" t="str">
            <v>--</v>
          </cell>
          <cell r="BR168" t="str">
            <v>--</v>
          </cell>
          <cell r="BS168" t="str">
            <v>--</v>
          </cell>
          <cell r="BT168" t="str">
            <v>--</v>
          </cell>
          <cell r="BU168" t="str">
            <v>--</v>
          </cell>
          <cell r="BV168" t="str">
            <v>--</v>
          </cell>
          <cell r="BW168" t="str">
            <v>--</v>
          </cell>
          <cell r="BX168" t="str">
            <v>--</v>
          </cell>
          <cell r="BY168" t="str">
            <v>--</v>
          </cell>
          <cell r="BZ168" t="str">
            <v>--</v>
          </cell>
          <cell r="CA168" t="str">
            <v>--</v>
          </cell>
          <cell r="CB168" t="str">
            <v>--</v>
          </cell>
          <cell r="CC168" t="str">
            <v>--</v>
          </cell>
          <cell r="CD168" t="str">
            <v>--</v>
          </cell>
          <cell r="CE168" t="str">
            <v>--</v>
          </cell>
          <cell r="CF168" t="str">
            <v>--</v>
          </cell>
          <cell r="CG168" t="str">
            <v>--</v>
          </cell>
          <cell r="CH168" t="str">
            <v>--</v>
          </cell>
          <cell r="CI168" t="str">
            <v>--</v>
          </cell>
          <cell r="CJ168" t="str">
            <v>--</v>
          </cell>
          <cell r="CK168" t="str">
            <v>--</v>
          </cell>
          <cell r="CL168" t="str">
            <v>--</v>
          </cell>
          <cell r="CM168" t="str">
            <v>--</v>
          </cell>
          <cell r="CN168" t="str">
            <v>--</v>
          </cell>
          <cell r="CO168" t="str">
            <v>--</v>
          </cell>
          <cell r="CP168" t="str">
            <v>--</v>
          </cell>
          <cell r="CQ168" t="str">
            <v>--</v>
          </cell>
          <cell r="CR168" t="str">
            <v>--</v>
          </cell>
          <cell r="CS168" t="str">
            <v>--</v>
          </cell>
          <cell r="CT168" t="str">
            <v>--</v>
          </cell>
          <cell r="CU168" t="str">
            <v>--</v>
          </cell>
          <cell r="CV168" t="str">
            <v>--</v>
          </cell>
          <cell r="CW168" t="str">
            <v>--</v>
          </cell>
          <cell r="CX168" t="str">
            <v>--</v>
          </cell>
          <cell r="CY168" t="str">
            <v>--</v>
          </cell>
          <cell r="CZ168" t="str">
            <v>--</v>
          </cell>
          <cell r="DA168" t="str">
            <v>--</v>
          </cell>
          <cell r="DB168" t="str">
            <v>--</v>
          </cell>
          <cell r="DC168" t="str">
            <v>--</v>
          </cell>
          <cell r="DD168" t="str">
            <v>--</v>
          </cell>
          <cell r="DE168" t="str">
            <v>--</v>
          </cell>
          <cell r="DF168" t="str">
            <v>--</v>
          </cell>
          <cell r="DG168" t="str">
            <v>--</v>
          </cell>
          <cell r="DH168" t="str">
            <v>--</v>
          </cell>
          <cell r="DI168" t="str">
            <v>--</v>
          </cell>
          <cell r="DJ168" t="str">
            <v>--</v>
          </cell>
          <cell r="DK168" t="str">
            <v>--</v>
          </cell>
          <cell r="DL168" t="str">
            <v>--</v>
          </cell>
          <cell r="DM168" t="str">
            <v>--</v>
          </cell>
          <cell r="DN168" t="str">
            <v>--</v>
          </cell>
          <cell r="DO168" t="str">
            <v>--</v>
          </cell>
          <cell r="DP168" t="str">
            <v>--</v>
          </cell>
          <cell r="DQ168" t="str">
            <v>--</v>
          </cell>
          <cell r="DR168" t="str">
            <v>--</v>
          </cell>
          <cell r="DS168" t="str">
            <v>--</v>
          </cell>
          <cell r="DT168" t="str">
            <v>--</v>
          </cell>
          <cell r="DU168" t="str">
            <v>--</v>
          </cell>
          <cell r="DV168" t="str">
            <v>--</v>
          </cell>
          <cell r="DW168" t="str">
            <v>--</v>
          </cell>
          <cell r="DX168" t="str">
            <v>--</v>
          </cell>
          <cell r="DY168" t="str">
            <v>--</v>
          </cell>
          <cell r="DZ168" t="str">
            <v>--</v>
          </cell>
          <cell r="EA168" t="str">
            <v>--</v>
          </cell>
          <cell r="EB168" t="str">
            <v>--</v>
          </cell>
          <cell r="EC168" t="str">
            <v>--</v>
          </cell>
          <cell r="ED168" t="str">
            <v>--</v>
          </cell>
          <cell r="EE168" t="str">
            <v>--</v>
          </cell>
          <cell r="EF168" t="str">
            <v>--</v>
          </cell>
          <cell r="EG168" t="str">
            <v>--</v>
          </cell>
        </row>
        <row r="169">
          <cell r="A169" t="str">
            <v>01490045High needs</v>
          </cell>
          <cell r="B169" t="str">
            <v>01490045S</v>
          </cell>
          <cell r="C169" t="str">
            <v>0149</v>
          </cell>
          <cell r="D169" t="str">
            <v>01490045</v>
          </cell>
          <cell r="E169" t="str">
            <v>Lawrence</v>
          </cell>
          <cell r="F169" t="str">
            <v>James F Leonard</v>
          </cell>
          <cell r="G169" t="str">
            <v>MS</v>
          </cell>
          <cell r="H169" t="str">
            <v>Lawrence - James F Leonard (01490045)</v>
          </cell>
          <cell r="I169" t="str">
            <v>High needs</v>
          </cell>
          <cell r="J169" t="str">
            <v>01490045High needs</v>
          </cell>
          <cell r="K169" t="str">
            <v>Level 4</v>
          </cell>
          <cell r="L169">
            <v>67.400000000000006</v>
          </cell>
          <cell r="M169">
            <v>70.099999999999994</v>
          </cell>
          <cell r="N169">
            <v>63.9</v>
          </cell>
          <cell r="O169">
            <v>72.8</v>
          </cell>
          <cell r="P169">
            <v>65.599999999999994</v>
          </cell>
          <cell r="Q169">
            <v>75.599999999999994</v>
          </cell>
          <cell r="R169">
            <v>78.3</v>
          </cell>
          <cell r="S169">
            <v>81</v>
          </cell>
          <cell r="T169">
            <v>83.7</v>
          </cell>
          <cell r="U169">
            <v>42.8</v>
          </cell>
          <cell r="V169">
            <v>47.6</v>
          </cell>
          <cell r="W169">
            <v>43.6</v>
          </cell>
          <cell r="X169">
            <v>52.3</v>
          </cell>
          <cell r="Y169">
            <v>46.5</v>
          </cell>
          <cell r="Z169">
            <v>57.1</v>
          </cell>
          <cell r="AA169">
            <v>61.9</v>
          </cell>
          <cell r="AB169">
            <v>66.599999999999994</v>
          </cell>
          <cell r="AC169">
            <v>71.400000000000006</v>
          </cell>
          <cell r="AD169">
            <v>33</v>
          </cell>
          <cell r="AE169">
            <v>38.6</v>
          </cell>
          <cell r="AF169">
            <v>45.4</v>
          </cell>
          <cell r="AG169">
            <v>44.2</v>
          </cell>
          <cell r="AH169">
            <v>46.3</v>
          </cell>
          <cell r="AI169">
            <v>49.8</v>
          </cell>
          <cell r="AJ169">
            <v>55.3</v>
          </cell>
          <cell r="AK169">
            <v>60.9</v>
          </cell>
          <cell r="AL169">
            <v>66.5</v>
          </cell>
          <cell r="AM169" t="str">
            <v>--</v>
          </cell>
          <cell r="AN169" t="str">
            <v>--</v>
          </cell>
          <cell r="AO169" t="str">
            <v>--</v>
          </cell>
          <cell r="AP169" t="str">
            <v>--</v>
          </cell>
          <cell r="AQ169" t="str">
            <v>--</v>
          </cell>
          <cell r="AR169" t="str">
            <v>--</v>
          </cell>
          <cell r="AS169" t="str">
            <v>--</v>
          </cell>
          <cell r="AT169" t="str">
            <v>--</v>
          </cell>
          <cell r="AU169" t="str">
            <v>--</v>
          </cell>
          <cell r="AV169" t="str">
            <v>--</v>
          </cell>
          <cell r="AW169" t="str">
            <v>--</v>
          </cell>
          <cell r="AX169" t="str">
            <v>--</v>
          </cell>
          <cell r="AY169" t="str">
            <v>--</v>
          </cell>
          <cell r="AZ169" t="str">
            <v>--</v>
          </cell>
          <cell r="BA169" t="str">
            <v>--</v>
          </cell>
          <cell r="BB169" t="str">
            <v>--</v>
          </cell>
          <cell r="BC169" t="str">
            <v>--</v>
          </cell>
          <cell r="BD169" t="str">
            <v>--</v>
          </cell>
          <cell r="BE169" t="str">
            <v>--</v>
          </cell>
          <cell r="BF169" t="str">
            <v>--</v>
          </cell>
          <cell r="BG169" t="str">
            <v>--</v>
          </cell>
          <cell r="BH169" t="str">
            <v>--</v>
          </cell>
          <cell r="BI169" t="str">
            <v>--</v>
          </cell>
          <cell r="BJ169" t="str">
            <v>--</v>
          </cell>
          <cell r="BK169" t="str">
            <v>--</v>
          </cell>
          <cell r="BL169" t="str">
            <v>--</v>
          </cell>
          <cell r="BM169" t="str">
            <v>--</v>
          </cell>
          <cell r="BN169">
            <v>31</v>
          </cell>
          <cell r="BO169">
            <v>41</v>
          </cell>
          <cell r="BP169">
            <v>37</v>
          </cell>
          <cell r="BQ169">
            <v>47</v>
          </cell>
          <cell r="BR169">
            <v>40</v>
          </cell>
          <cell r="BS169">
            <v>50</v>
          </cell>
          <cell r="BT169">
            <v>51</v>
          </cell>
          <cell r="BU169">
            <v>51</v>
          </cell>
          <cell r="BV169">
            <v>51</v>
          </cell>
          <cell r="BW169">
            <v>25</v>
          </cell>
          <cell r="BX169">
            <v>35</v>
          </cell>
          <cell r="BY169">
            <v>31</v>
          </cell>
          <cell r="BZ169">
            <v>41</v>
          </cell>
          <cell r="CA169">
            <v>46</v>
          </cell>
          <cell r="CB169">
            <v>51</v>
          </cell>
          <cell r="CC169">
            <v>51</v>
          </cell>
          <cell r="CD169">
            <v>51</v>
          </cell>
          <cell r="CE169">
            <v>51</v>
          </cell>
          <cell r="CF169">
            <v>25.1</v>
          </cell>
          <cell r="CG169">
            <v>22.6</v>
          </cell>
          <cell r="CH169">
            <v>28.4</v>
          </cell>
          <cell r="CI169">
            <v>25.6</v>
          </cell>
          <cell r="CJ169">
            <v>25.3</v>
          </cell>
          <cell r="CK169">
            <v>22.8</v>
          </cell>
          <cell r="CL169">
            <v>20.5</v>
          </cell>
          <cell r="CM169">
            <v>18.399999999999999</v>
          </cell>
          <cell r="CN169">
            <v>16.600000000000001</v>
          </cell>
          <cell r="CO169">
            <v>56.1</v>
          </cell>
          <cell r="CP169">
            <v>50.5</v>
          </cell>
          <cell r="CQ169">
            <v>57.1</v>
          </cell>
          <cell r="CR169">
            <v>51.4</v>
          </cell>
          <cell r="CS169">
            <v>50.8</v>
          </cell>
          <cell r="CT169">
            <v>45.7</v>
          </cell>
          <cell r="CU169">
            <v>41.1</v>
          </cell>
          <cell r="CV169">
            <v>37</v>
          </cell>
          <cell r="CW169">
            <v>33.299999999999997</v>
          </cell>
          <cell r="CX169">
            <v>71.599999999999994</v>
          </cell>
          <cell r="CY169">
            <v>64.400000000000006</v>
          </cell>
          <cell r="CZ169">
            <v>49.5</v>
          </cell>
          <cell r="DA169">
            <v>44.6</v>
          </cell>
          <cell r="DB169">
            <v>49.4</v>
          </cell>
          <cell r="DC169">
            <v>44.5</v>
          </cell>
          <cell r="DD169">
            <v>40</v>
          </cell>
          <cell r="DE169">
            <v>36</v>
          </cell>
          <cell r="DF169">
            <v>32.4</v>
          </cell>
          <cell r="DG169">
            <v>0.4</v>
          </cell>
          <cell r="DH169">
            <v>0.4</v>
          </cell>
          <cell r="DI169">
            <v>1.1000000000000001</v>
          </cell>
          <cell r="DJ169">
            <v>1.2</v>
          </cell>
          <cell r="DK169">
            <v>1.6</v>
          </cell>
          <cell r="DL169">
            <v>1.8</v>
          </cell>
          <cell r="DM169">
            <v>1.9</v>
          </cell>
          <cell r="DN169">
            <v>2.1</v>
          </cell>
          <cell r="DO169">
            <v>2.2999999999999998</v>
          </cell>
          <cell r="DP169">
            <v>2.1</v>
          </cell>
          <cell r="DQ169">
            <v>2.2999999999999998</v>
          </cell>
          <cell r="DR169">
            <v>1.5</v>
          </cell>
          <cell r="DS169">
            <v>1.7</v>
          </cell>
          <cell r="DT169">
            <v>3.2</v>
          </cell>
          <cell r="DU169">
            <v>3.5</v>
          </cell>
          <cell r="DV169">
            <v>3.9</v>
          </cell>
          <cell r="DW169">
            <v>4.3</v>
          </cell>
          <cell r="DX169">
            <v>4.7</v>
          </cell>
          <cell r="DY169">
            <v>0</v>
          </cell>
          <cell r="DZ169">
            <v>1</v>
          </cell>
          <cell r="EA169">
            <v>0</v>
          </cell>
          <cell r="EB169">
            <v>1</v>
          </cell>
          <cell r="EC169">
            <v>0</v>
          </cell>
          <cell r="ED169">
            <v>1</v>
          </cell>
          <cell r="EE169">
            <v>1.1000000000000001</v>
          </cell>
          <cell r="EF169">
            <v>1.2</v>
          </cell>
          <cell r="EG169">
            <v>1.3</v>
          </cell>
        </row>
        <row r="170">
          <cell r="A170" t="str">
            <v>01490045All students</v>
          </cell>
          <cell r="B170" t="str">
            <v>01490045T</v>
          </cell>
          <cell r="C170" t="str">
            <v>0149</v>
          </cell>
          <cell r="D170" t="str">
            <v>01490045</v>
          </cell>
          <cell r="E170" t="str">
            <v>Lawrence</v>
          </cell>
          <cell r="F170" t="str">
            <v>James F Leonard</v>
          </cell>
          <cell r="G170" t="str">
            <v>MS</v>
          </cell>
          <cell r="H170" t="str">
            <v>Lawrence - James F Leonard (01490045)</v>
          </cell>
          <cell r="I170" t="str">
            <v>All students</v>
          </cell>
          <cell r="J170" t="str">
            <v>01490045All students</v>
          </cell>
          <cell r="K170" t="str">
            <v>Level 4</v>
          </cell>
          <cell r="L170">
            <v>67.599999999999994</v>
          </cell>
          <cell r="M170">
            <v>70.3</v>
          </cell>
          <cell r="N170">
            <v>64.3</v>
          </cell>
          <cell r="O170">
            <v>73</v>
          </cell>
          <cell r="P170">
            <v>66.3</v>
          </cell>
          <cell r="Q170">
            <v>75.7</v>
          </cell>
          <cell r="R170">
            <v>78.400000000000006</v>
          </cell>
          <cell r="S170">
            <v>81.099999999999994</v>
          </cell>
          <cell r="T170">
            <v>83.8</v>
          </cell>
          <cell r="U170">
            <v>43.2</v>
          </cell>
          <cell r="V170">
            <v>47.9</v>
          </cell>
          <cell r="W170">
            <v>43.9</v>
          </cell>
          <cell r="X170">
            <v>52.7</v>
          </cell>
          <cell r="Y170">
            <v>47.5</v>
          </cell>
          <cell r="Z170">
            <v>57.4</v>
          </cell>
          <cell r="AA170">
            <v>62.1</v>
          </cell>
          <cell r="AB170">
            <v>66.900000000000006</v>
          </cell>
          <cell r="AC170">
            <v>71.599999999999994</v>
          </cell>
          <cell r="AD170">
            <v>33</v>
          </cell>
          <cell r="AE170">
            <v>38.6</v>
          </cell>
          <cell r="AF170">
            <v>46.3</v>
          </cell>
          <cell r="AG170">
            <v>44.2</v>
          </cell>
          <cell r="AH170">
            <v>47</v>
          </cell>
          <cell r="AI170">
            <v>49.8</v>
          </cell>
          <cell r="AJ170">
            <v>55.3</v>
          </cell>
          <cell r="AK170">
            <v>60.9</v>
          </cell>
          <cell r="AL170">
            <v>66.5</v>
          </cell>
          <cell r="AM170" t="str">
            <v>--</v>
          </cell>
          <cell r="AN170" t="str">
            <v>--</v>
          </cell>
          <cell r="AO170" t="str">
            <v>--</v>
          </cell>
          <cell r="AP170" t="str">
            <v>--</v>
          </cell>
          <cell r="AQ170" t="str">
            <v>--</v>
          </cell>
          <cell r="AR170" t="str">
            <v>--</v>
          </cell>
          <cell r="AS170" t="str">
            <v>--</v>
          </cell>
          <cell r="AT170" t="str">
            <v>--</v>
          </cell>
          <cell r="AU170" t="str">
            <v>--</v>
          </cell>
          <cell r="AV170" t="str">
            <v>--</v>
          </cell>
          <cell r="AW170" t="str">
            <v>--</v>
          </cell>
          <cell r="AX170" t="str">
            <v>--</v>
          </cell>
          <cell r="AY170" t="str">
            <v>--</v>
          </cell>
          <cell r="AZ170" t="str">
            <v>--</v>
          </cell>
          <cell r="BA170" t="str">
            <v>--</v>
          </cell>
          <cell r="BB170" t="str">
            <v>--</v>
          </cell>
          <cell r="BC170" t="str">
            <v>--</v>
          </cell>
          <cell r="BD170" t="str">
            <v>--</v>
          </cell>
          <cell r="BE170" t="str">
            <v>--</v>
          </cell>
          <cell r="BF170" t="str">
            <v>--</v>
          </cell>
          <cell r="BG170" t="str">
            <v>--</v>
          </cell>
          <cell r="BH170" t="str">
            <v>--</v>
          </cell>
          <cell r="BI170" t="str">
            <v>--</v>
          </cell>
          <cell r="BJ170" t="str">
            <v>--</v>
          </cell>
          <cell r="BK170" t="str">
            <v>--</v>
          </cell>
          <cell r="BL170" t="str">
            <v>--</v>
          </cell>
          <cell r="BM170" t="str">
            <v>--</v>
          </cell>
          <cell r="BN170">
            <v>31</v>
          </cell>
          <cell r="BO170">
            <v>41</v>
          </cell>
          <cell r="BP170">
            <v>37.5</v>
          </cell>
          <cell r="BQ170">
            <v>47.5</v>
          </cell>
          <cell r="BR170">
            <v>41</v>
          </cell>
          <cell r="BS170">
            <v>51</v>
          </cell>
          <cell r="BT170">
            <v>51</v>
          </cell>
          <cell r="BU170">
            <v>51</v>
          </cell>
          <cell r="BV170">
            <v>51</v>
          </cell>
          <cell r="BW170">
            <v>25</v>
          </cell>
          <cell r="BX170">
            <v>35</v>
          </cell>
          <cell r="BY170">
            <v>31</v>
          </cell>
          <cell r="BZ170">
            <v>41</v>
          </cell>
          <cell r="CA170">
            <v>47</v>
          </cell>
          <cell r="CB170">
            <v>51</v>
          </cell>
          <cell r="CC170">
            <v>51</v>
          </cell>
          <cell r="CD170">
            <v>51</v>
          </cell>
          <cell r="CE170">
            <v>51</v>
          </cell>
          <cell r="CF170">
            <v>24.8</v>
          </cell>
          <cell r="CG170">
            <v>22.3</v>
          </cell>
          <cell r="CH170">
            <v>28</v>
          </cell>
          <cell r="CI170">
            <v>25.2</v>
          </cell>
          <cell r="CJ170">
            <v>24.7</v>
          </cell>
          <cell r="CK170">
            <v>22.2</v>
          </cell>
          <cell r="CL170">
            <v>20</v>
          </cell>
          <cell r="CM170">
            <v>18</v>
          </cell>
          <cell r="CN170">
            <v>16.2</v>
          </cell>
          <cell r="CO170">
            <v>55.4</v>
          </cell>
          <cell r="CP170">
            <v>49.9</v>
          </cell>
          <cell r="CQ170">
            <v>56.9</v>
          </cell>
          <cell r="CR170">
            <v>51.2</v>
          </cell>
          <cell r="CS170">
            <v>49.7</v>
          </cell>
          <cell r="CT170">
            <v>44.7</v>
          </cell>
          <cell r="CU170">
            <v>40.299999999999997</v>
          </cell>
          <cell r="CV170">
            <v>36.200000000000003</v>
          </cell>
          <cell r="CW170">
            <v>32.6</v>
          </cell>
          <cell r="CX170">
            <v>71.599999999999994</v>
          </cell>
          <cell r="CY170">
            <v>64.400000000000006</v>
          </cell>
          <cell r="CZ170">
            <v>48.4</v>
          </cell>
          <cell r="DA170">
            <v>43.6</v>
          </cell>
          <cell r="DB170">
            <v>47.8</v>
          </cell>
          <cell r="DC170">
            <v>43</v>
          </cell>
          <cell r="DD170">
            <v>38.700000000000003</v>
          </cell>
          <cell r="DE170">
            <v>34.799999999999997</v>
          </cell>
          <cell r="DF170">
            <v>31.4</v>
          </cell>
          <cell r="DG170">
            <v>0.4</v>
          </cell>
          <cell r="DH170">
            <v>0.4</v>
          </cell>
          <cell r="DI170">
            <v>1.1000000000000001</v>
          </cell>
          <cell r="DJ170">
            <v>1.2</v>
          </cell>
          <cell r="DK170">
            <v>1.6</v>
          </cell>
          <cell r="DL170">
            <v>1.8</v>
          </cell>
          <cell r="DM170">
            <v>1.9</v>
          </cell>
          <cell r="DN170">
            <v>2.1</v>
          </cell>
          <cell r="DO170">
            <v>2.2999999999999998</v>
          </cell>
          <cell r="DP170">
            <v>2.1</v>
          </cell>
          <cell r="DQ170">
            <v>2.2999999999999998</v>
          </cell>
          <cell r="DR170">
            <v>1.5</v>
          </cell>
          <cell r="DS170">
            <v>1.7</v>
          </cell>
          <cell r="DT170">
            <v>3.1</v>
          </cell>
          <cell r="DU170">
            <v>3.4</v>
          </cell>
          <cell r="DV170">
            <v>3.8</v>
          </cell>
          <cell r="DW170">
            <v>4.0999999999999996</v>
          </cell>
          <cell r="DX170">
            <v>4.5</v>
          </cell>
          <cell r="DY170">
            <v>0</v>
          </cell>
          <cell r="DZ170">
            <v>1</v>
          </cell>
          <cell r="EA170">
            <v>0</v>
          </cell>
          <cell r="EB170">
            <v>1</v>
          </cell>
          <cell r="EC170">
            <v>0</v>
          </cell>
          <cell r="ED170">
            <v>1</v>
          </cell>
          <cell r="EE170">
            <v>1.1000000000000001</v>
          </cell>
          <cell r="EF170">
            <v>1.2</v>
          </cell>
          <cell r="EG170">
            <v>1.3</v>
          </cell>
        </row>
        <row r="171">
          <cell r="A171" t="str">
            <v>01490048Asian</v>
          </cell>
          <cell r="B171" t="str">
            <v>01490048A</v>
          </cell>
          <cell r="C171" t="str">
            <v>0149</v>
          </cell>
          <cell r="D171" t="str">
            <v>01490048</v>
          </cell>
          <cell r="E171" t="str">
            <v>Lawrence</v>
          </cell>
          <cell r="F171" t="str">
            <v>Oliver Partnership School</v>
          </cell>
          <cell r="G171" t="str">
            <v/>
          </cell>
          <cell r="H171" t="str">
            <v>Lawrence - Oliver Partnership School (01490048)</v>
          </cell>
          <cell r="I171" t="str">
            <v>Asian</v>
          </cell>
          <cell r="J171" t="str">
            <v>01490048Asian</v>
          </cell>
          <cell r="K171" t="str">
            <v>--</v>
          </cell>
          <cell r="L171" t="str">
            <v>--</v>
          </cell>
          <cell r="M171" t="str">
            <v>--</v>
          </cell>
          <cell r="N171" t="str">
            <v>--</v>
          </cell>
          <cell r="O171" t="str">
            <v>--</v>
          </cell>
          <cell r="P171" t="str">
            <v>--</v>
          </cell>
          <cell r="Q171" t="str">
            <v>--</v>
          </cell>
          <cell r="R171" t="str">
            <v>--</v>
          </cell>
          <cell r="S171" t="str">
            <v>--</v>
          </cell>
          <cell r="T171" t="str">
            <v>--</v>
          </cell>
          <cell r="U171" t="str">
            <v>--</v>
          </cell>
          <cell r="V171" t="str">
            <v>--</v>
          </cell>
          <cell r="W171" t="str">
            <v>--</v>
          </cell>
          <cell r="X171" t="str">
            <v>--</v>
          </cell>
          <cell r="Y171" t="str">
            <v>--</v>
          </cell>
          <cell r="Z171" t="str">
            <v>--</v>
          </cell>
          <cell r="AA171" t="str">
            <v>--</v>
          </cell>
          <cell r="AB171" t="str">
            <v>--</v>
          </cell>
          <cell r="AC171" t="str">
            <v>--</v>
          </cell>
          <cell r="AD171" t="str">
            <v>--</v>
          </cell>
          <cell r="AE171" t="str">
            <v>--</v>
          </cell>
          <cell r="AF171" t="str">
            <v>--</v>
          </cell>
          <cell r="AG171" t="str">
            <v>--</v>
          </cell>
          <cell r="AH171" t="str">
            <v>--</v>
          </cell>
          <cell r="AI171" t="str">
            <v>--</v>
          </cell>
          <cell r="AJ171" t="str">
            <v>--</v>
          </cell>
          <cell r="AK171" t="str">
            <v>--</v>
          </cell>
          <cell r="AL171" t="str">
            <v>--</v>
          </cell>
          <cell r="AM171" t="str">
            <v>--</v>
          </cell>
          <cell r="AN171" t="str">
            <v>--</v>
          </cell>
          <cell r="AO171" t="str">
            <v>--</v>
          </cell>
          <cell r="AP171" t="str">
            <v>--</v>
          </cell>
          <cell r="AQ171" t="str">
            <v>--</v>
          </cell>
          <cell r="AR171" t="str">
            <v>--</v>
          </cell>
          <cell r="AS171" t="str">
            <v>--</v>
          </cell>
          <cell r="AT171" t="str">
            <v>--</v>
          </cell>
          <cell r="AU171" t="str">
            <v>--</v>
          </cell>
          <cell r="AV171" t="str">
            <v>--</v>
          </cell>
          <cell r="AW171" t="str">
            <v>--</v>
          </cell>
          <cell r="AX171" t="str">
            <v>--</v>
          </cell>
          <cell r="AY171" t="str">
            <v>--</v>
          </cell>
          <cell r="AZ171" t="str">
            <v>--</v>
          </cell>
          <cell r="BA171" t="str">
            <v>--</v>
          </cell>
          <cell r="BB171" t="str">
            <v>--</v>
          </cell>
          <cell r="BC171" t="str">
            <v>--</v>
          </cell>
          <cell r="BD171" t="str">
            <v>--</v>
          </cell>
          <cell r="BE171" t="str">
            <v>--</v>
          </cell>
          <cell r="BF171" t="str">
            <v>--</v>
          </cell>
          <cell r="BG171" t="str">
            <v>--</v>
          </cell>
          <cell r="BH171" t="str">
            <v>--</v>
          </cell>
          <cell r="BI171" t="str">
            <v>--</v>
          </cell>
          <cell r="BJ171" t="str">
            <v>--</v>
          </cell>
          <cell r="BK171" t="str">
            <v>--</v>
          </cell>
          <cell r="BL171" t="str">
            <v>--</v>
          </cell>
          <cell r="BM171" t="str">
            <v>--</v>
          </cell>
          <cell r="BN171" t="str">
            <v>--</v>
          </cell>
          <cell r="BO171" t="str">
            <v>--</v>
          </cell>
          <cell r="BP171" t="str">
            <v>--</v>
          </cell>
          <cell r="BQ171" t="str">
            <v>--</v>
          </cell>
          <cell r="BR171" t="str">
            <v>--</v>
          </cell>
          <cell r="BS171" t="str">
            <v>--</v>
          </cell>
          <cell r="BT171" t="str">
            <v>--</v>
          </cell>
          <cell r="BU171" t="str">
            <v>--</v>
          </cell>
          <cell r="BV171" t="str">
            <v>--</v>
          </cell>
          <cell r="BW171" t="str">
            <v>--</v>
          </cell>
          <cell r="BX171" t="str">
            <v>--</v>
          </cell>
          <cell r="BY171" t="str">
            <v>--</v>
          </cell>
          <cell r="BZ171" t="str">
            <v>--</v>
          </cell>
          <cell r="CA171" t="str">
            <v>--</v>
          </cell>
          <cell r="CB171" t="str">
            <v>--</v>
          </cell>
          <cell r="CC171" t="str">
            <v>--</v>
          </cell>
          <cell r="CD171" t="str">
            <v>--</v>
          </cell>
          <cell r="CE171" t="str">
            <v>--</v>
          </cell>
          <cell r="CF171" t="str">
            <v>--</v>
          </cell>
          <cell r="CG171" t="str">
            <v>--</v>
          </cell>
          <cell r="CH171" t="str">
            <v>--</v>
          </cell>
          <cell r="CI171" t="str">
            <v>--</v>
          </cell>
          <cell r="CJ171" t="str">
            <v>--</v>
          </cell>
          <cell r="CK171" t="str">
            <v>--</v>
          </cell>
          <cell r="CL171" t="str">
            <v>--</v>
          </cell>
          <cell r="CM171" t="str">
            <v>--</v>
          </cell>
          <cell r="CN171" t="str">
            <v>--</v>
          </cell>
          <cell r="CO171" t="str">
            <v>--</v>
          </cell>
          <cell r="CP171" t="str">
            <v>--</v>
          </cell>
          <cell r="CQ171" t="str">
            <v>--</v>
          </cell>
          <cell r="CR171" t="str">
            <v>--</v>
          </cell>
          <cell r="CS171" t="str">
            <v>--</v>
          </cell>
          <cell r="CT171" t="str">
            <v>--</v>
          </cell>
          <cell r="CU171" t="str">
            <v>--</v>
          </cell>
          <cell r="CV171" t="str">
            <v>--</v>
          </cell>
          <cell r="CW171" t="str">
            <v>--</v>
          </cell>
          <cell r="CX171" t="str">
            <v>--</v>
          </cell>
          <cell r="CY171" t="str">
            <v>--</v>
          </cell>
          <cell r="CZ171" t="str">
            <v>--</v>
          </cell>
          <cell r="DA171" t="str">
            <v>--</v>
          </cell>
          <cell r="DB171" t="str">
            <v>--</v>
          </cell>
          <cell r="DC171" t="str">
            <v>--</v>
          </cell>
          <cell r="DD171" t="str">
            <v>--</v>
          </cell>
          <cell r="DE171" t="str">
            <v>--</v>
          </cell>
          <cell r="DF171" t="str">
            <v>--</v>
          </cell>
          <cell r="DG171" t="str">
            <v>--</v>
          </cell>
          <cell r="DH171" t="str">
            <v>--</v>
          </cell>
          <cell r="DI171" t="str">
            <v>--</v>
          </cell>
          <cell r="DJ171" t="str">
            <v>--</v>
          </cell>
          <cell r="DK171" t="str">
            <v>--</v>
          </cell>
          <cell r="DL171" t="str">
            <v>--</v>
          </cell>
          <cell r="DM171" t="str">
            <v>--</v>
          </cell>
          <cell r="DN171" t="str">
            <v>--</v>
          </cell>
          <cell r="DO171" t="str">
            <v>--</v>
          </cell>
          <cell r="DP171" t="str">
            <v>--</v>
          </cell>
          <cell r="DQ171" t="str">
            <v>--</v>
          </cell>
          <cell r="DR171" t="str">
            <v>--</v>
          </cell>
          <cell r="DS171" t="str">
            <v>--</v>
          </cell>
          <cell r="DT171" t="str">
            <v>--</v>
          </cell>
          <cell r="DU171" t="str">
            <v>--</v>
          </cell>
          <cell r="DV171" t="str">
            <v>--</v>
          </cell>
          <cell r="DW171" t="str">
            <v>--</v>
          </cell>
          <cell r="DX171" t="str">
            <v>--</v>
          </cell>
          <cell r="DY171" t="str">
            <v>--</v>
          </cell>
          <cell r="DZ171" t="str">
            <v>--</v>
          </cell>
          <cell r="EA171" t="str">
            <v>--</v>
          </cell>
          <cell r="EB171" t="str">
            <v>--</v>
          </cell>
          <cell r="EC171" t="str">
            <v>--</v>
          </cell>
          <cell r="ED171" t="str">
            <v>--</v>
          </cell>
          <cell r="EE171" t="str">
            <v>--</v>
          </cell>
          <cell r="EF171" t="str">
            <v>--</v>
          </cell>
          <cell r="EG171" t="str">
            <v>--</v>
          </cell>
        </row>
        <row r="172">
          <cell r="A172" t="str">
            <v>01490048Afr. Amer/Black</v>
          </cell>
          <cell r="B172" t="str">
            <v>01490048B</v>
          </cell>
          <cell r="C172" t="str">
            <v>0149</v>
          </cell>
          <cell r="D172" t="str">
            <v>01490048</v>
          </cell>
          <cell r="E172" t="str">
            <v>Lawrence</v>
          </cell>
          <cell r="F172" t="str">
            <v>Oliver Partnership School</v>
          </cell>
          <cell r="G172" t="str">
            <v/>
          </cell>
          <cell r="H172" t="str">
            <v>Lawrence - Oliver Partnership School (01490048)</v>
          </cell>
          <cell r="I172" t="str">
            <v>Afr. Amer/Black</v>
          </cell>
          <cell r="J172" t="str">
            <v>01490048Afr. Amer/Black</v>
          </cell>
          <cell r="K172" t="str">
            <v>--</v>
          </cell>
          <cell r="L172" t="str">
            <v>--</v>
          </cell>
          <cell r="M172" t="str">
            <v>--</v>
          </cell>
          <cell r="N172" t="str">
            <v>--</v>
          </cell>
          <cell r="O172" t="str">
            <v>--</v>
          </cell>
          <cell r="P172" t="str">
            <v>--</v>
          </cell>
          <cell r="Q172" t="str">
            <v>--</v>
          </cell>
          <cell r="R172" t="str">
            <v>--</v>
          </cell>
          <cell r="S172" t="str">
            <v>--</v>
          </cell>
          <cell r="T172" t="str">
            <v>--</v>
          </cell>
          <cell r="U172" t="str">
            <v>--</v>
          </cell>
          <cell r="V172" t="str">
            <v>--</v>
          </cell>
          <cell r="W172" t="str">
            <v>--</v>
          </cell>
          <cell r="X172" t="str">
            <v>--</v>
          </cell>
          <cell r="Y172" t="str">
            <v>--</v>
          </cell>
          <cell r="Z172" t="str">
            <v>--</v>
          </cell>
          <cell r="AA172" t="str">
            <v>--</v>
          </cell>
          <cell r="AB172" t="str">
            <v>--</v>
          </cell>
          <cell r="AC172" t="str">
            <v>--</v>
          </cell>
          <cell r="AD172" t="str">
            <v>--</v>
          </cell>
          <cell r="AE172" t="str">
            <v>--</v>
          </cell>
          <cell r="AF172" t="str">
            <v>--</v>
          </cell>
          <cell r="AG172" t="str">
            <v>--</v>
          </cell>
          <cell r="AH172" t="str">
            <v>--</v>
          </cell>
          <cell r="AI172" t="str">
            <v>--</v>
          </cell>
          <cell r="AJ172" t="str">
            <v>--</v>
          </cell>
          <cell r="AK172" t="str">
            <v>--</v>
          </cell>
          <cell r="AL172" t="str">
            <v>--</v>
          </cell>
          <cell r="AM172" t="str">
            <v>--</v>
          </cell>
          <cell r="AN172" t="str">
            <v>--</v>
          </cell>
          <cell r="AO172" t="str">
            <v>--</v>
          </cell>
          <cell r="AP172" t="str">
            <v>--</v>
          </cell>
          <cell r="AQ172" t="str">
            <v>--</v>
          </cell>
          <cell r="AR172" t="str">
            <v>--</v>
          </cell>
          <cell r="AS172" t="str">
            <v>--</v>
          </cell>
          <cell r="AT172" t="str">
            <v>--</v>
          </cell>
          <cell r="AU172" t="str">
            <v>--</v>
          </cell>
          <cell r="AV172" t="str">
            <v>--</v>
          </cell>
          <cell r="AW172" t="str">
            <v>--</v>
          </cell>
          <cell r="AX172" t="str">
            <v>--</v>
          </cell>
          <cell r="AY172" t="str">
            <v>--</v>
          </cell>
          <cell r="AZ172" t="str">
            <v>--</v>
          </cell>
          <cell r="BA172" t="str">
            <v>--</v>
          </cell>
          <cell r="BB172" t="str">
            <v>--</v>
          </cell>
          <cell r="BC172" t="str">
            <v>--</v>
          </cell>
          <cell r="BD172" t="str">
            <v>--</v>
          </cell>
          <cell r="BE172" t="str">
            <v>--</v>
          </cell>
          <cell r="BF172" t="str">
            <v>--</v>
          </cell>
          <cell r="BG172" t="str">
            <v>--</v>
          </cell>
          <cell r="BH172" t="str">
            <v>--</v>
          </cell>
          <cell r="BI172" t="str">
            <v>--</v>
          </cell>
          <cell r="BJ172" t="str">
            <v>--</v>
          </cell>
          <cell r="BK172" t="str">
            <v>--</v>
          </cell>
          <cell r="BL172" t="str">
            <v>--</v>
          </cell>
          <cell r="BM172" t="str">
            <v>--</v>
          </cell>
          <cell r="BN172" t="str">
            <v>--</v>
          </cell>
          <cell r="BO172" t="str">
            <v>--</v>
          </cell>
          <cell r="BP172" t="str">
            <v>--</v>
          </cell>
          <cell r="BQ172" t="str">
            <v>--</v>
          </cell>
          <cell r="BR172" t="str">
            <v>--</v>
          </cell>
          <cell r="BS172" t="str">
            <v>--</v>
          </cell>
          <cell r="BT172" t="str">
            <v>--</v>
          </cell>
          <cell r="BU172" t="str">
            <v>--</v>
          </cell>
          <cell r="BV172" t="str">
            <v>--</v>
          </cell>
          <cell r="BW172" t="str">
            <v>--</v>
          </cell>
          <cell r="BX172" t="str">
            <v>--</v>
          </cell>
          <cell r="BY172" t="str">
            <v>--</v>
          </cell>
          <cell r="BZ172" t="str">
            <v>--</v>
          </cell>
          <cell r="CA172" t="str">
            <v>--</v>
          </cell>
          <cell r="CB172" t="str">
            <v>--</v>
          </cell>
          <cell r="CC172" t="str">
            <v>--</v>
          </cell>
          <cell r="CD172" t="str">
            <v>--</v>
          </cell>
          <cell r="CE172" t="str">
            <v>--</v>
          </cell>
          <cell r="CF172" t="str">
            <v>--</v>
          </cell>
          <cell r="CG172" t="str">
            <v>--</v>
          </cell>
          <cell r="CH172" t="str">
            <v>--</v>
          </cell>
          <cell r="CI172" t="str">
            <v>--</v>
          </cell>
          <cell r="CJ172" t="str">
            <v>--</v>
          </cell>
          <cell r="CK172" t="str">
            <v>--</v>
          </cell>
          <cell r="CL172" t="str">
            <v>--</v>
          </cell>
          <cell r="CM172" t="str">
            <v>--</v>
          </cell>
          <cell r="CN172" t="str">
            <v>--</v>
          </cell>
          <cell r="CO172" t="str">
            <v>--</v>
          </cell>
          <cell r="CP172" t="str">
            <v>--</v>
          </cell>
          <cell r="CQ172" t="str">
            <v>--</v>
          </cell>
          <cell r="CR172" t="str">
            <v>--</v>
          </cell>
          <cell r="CS172" t="str">
            <v>--</v>
          </cell>
          <cell r="CT172" t="str">
            <v>--</v>
          </cell>
          <cell r="CU172" t="str">
            <v>--</v>
          </cell>
          <cell r="CV172" t="str">
            <v>--</v>
          </cell>
          <cell r="CW172" t="str">
            <v>--</v>
          </cell>
          <cell r="CX172" t="str">
            <v>--</v>
          </cell>
          <cell r="CY172" t="str">
            <v>--</v>
          </cell>
          <cell r="CZ172" t="str">
            <v>--</v>
          </cell>
          <cell r="DA172" t="str">
            <v>--</v>
          </cell>
          <cell r="DB172" t="str">
            <v>--</v>
          </cell>
          <cell r="DC172" t="str">
            <v>--</v>
          </cell>
          <cell r="DD172" t="str">
            <v>--</v>
          </cell>
          <cell r="DE172" t="str">
            <v>--</v>
          </cell>
          <cell r="DF172" t="str">
            <v>--</v>
          </cell>
          <cell r="DG172" t="str">
            <v>--</v>
          </cell>
          <cell r="DH172" t="str">
            <v>--</v>
          </cell>
          <cell r="DI172" t="str">
            <v>--</v>
          </cell>
          <cell r="DJ172" t="str">
            <v>--</v>
          </cell>
          <cell r="DK172" t="str">
            <v>--</v>
          </cell>
          <cell r="DL172" t="str">
            <v>--</v>
          </cell>
          <cell r="DM172" t="str">
            <v>--</v>
          </cell>
          <cell r="DN172" t="str">
            <v>--</v>
          </cell>
          <cell r="DO172" t="str">
            <v>--</v>
          </cell>
          <cell r="DP172" t="str">
            <v>--</v>
          </cell>
          <cell r="DQ172" t="str">
            <v>--</v>
          </cell>
          <cell r="DR172" t="str">
            <v>--</v>
          </cell>
          <cell r="DS172" t="str">
            <v>--</v>
          </cell>
          <cell r="DT172" t="str">
            <v>--</v>
          </cell>
          <cell r="DU172" t="str">
            <v>--</v>
          </cell>
          <cell r="DV172" t="str">
            <v>--</v>
          </cell>
          <cell r="DW172" t="str">
            <v>--</v>
          </cell>
          <cell r="DX172" t="str">
            <v>--</v>
          </cell>
          <cell r="DY172" t="str">
            <v>--</v>
          </cell>
          <cell r="DZ172" t="str">
            <v>--</v>
          </cell>
          <cell r="EA172" t="str">
            <v>--</v>
          </cell>
          <cell r="EB172" t="str">
            <v>--</v>
          </cell>
          <cell r="EC172" t="str">
            <v>--</v>
          </cell>
          <cell r="ED172" t="str">
            <v>--</v>
          </cell>
          <cell r="EE172" t="str">
            <v>--</v>
          </cell>
          <cell r="EF172" t="str">
            <v>--</v>
          </cell>
          <cell r="EG172" t="str">
            <v>--</v>
          </cell>
        </row>
        <row r="173">
          <cell r="A173" t="str">
            <v>01490048White</v>
          </cell>
          <cell r="B173" t="str">
            <v>01490048C</v>
          </cell>
          <cell r="C173" t="str">
            <v>0149</v>
          </cell>
          <cell r="D173" t="str">
            <v>01490048</v>
          </cell>
          <cell r="E173" t="str">
            <v>Lawrence</v>
          </cell>
          <cell r="F173" t="str">
            <v>Oliver Partnership School</v>
          </cell>
          <cell r="G173" t="str">
            <v/>
          </cell>
          <cell r="H173" t="str">
            <v>Lawrence - Oliver Partnership School (01490048)</v>
          </cell>
          <cell r="I173" t="str">
            <v>White</v>
          </cell>
          <cell r="J173" t="str">
            <v>01490048White</v>
          </cell>
          <cell r="K173" t="str">
            <v>--</v>
          </cell>
          <cell r="L173" t="str">
            <v>--</v>
          </cell>
          <cell r="M173" t="str">
            <v>--</v>
          </cell>
          <cell r="N173" t="str">
            <v>--</v>
          </cell>
          <cell r="O173" t="str">
            <v>--</v>
          </cell>
          <cell r="P173" t="str">
            <v>--</v>
          </cell>
          <cell r="Q173" t="str">
            <v>--</v>
          </cell>
          <cell r="R173" t="str">
            <v>--</v>
          </cell>
          <cell r="S173" t="str">
            <v>--</v>
          </cell>
          <cell r="T173" t="str">
            <v>--</v>
          </cell>
          <cell r="U173" t="str">
            <v>--</v>
          </cell>
          <cell r="V173" t="str">
            <v>--</v>
          </cell>
          <cell r="W173" t="str">
            <v>--</v>
          </cell>
          <cell r="X173" t="str">
            <v>--</v>
          </cell>
          <cell r="Y173" t="str">
            <v>--</v>
          </cell>
          <cell r="Z173" t="str">
            <v>--</v>
          </cell>
          <cell r="AA173" t="str">
            <v>--</v>
          </cell>
          <cell r="AB173" t="str">
            <v>--</v>
          </cell>
          <cell r="AC173" t="str">
            <v>--</v>
          </cell>
          <cell r="AD173" t="str">
            <v>--</v>
          </cell>
          <cell r="AE173" t="str">
            <v>--</v>
          </cell>
          <cell r="AF173" t="str">
            <v>--</v>
          </cell>
          <cell r="AG173" t="str">
            <v>--</v>
          </cell>
          <cell r="AH173" t="str">
            <v>--</v>
          </cell>
          <cell r="AI173" t="str">
            <v>--</v>
          </cell>
          <cell r="AJ173" t="str">
            <v>--</v>
          </cell>
          <cell r="AK173" t="str">
            <v>--</v>
          </cell>
          <cell r="AL173" t="str">
            <v>--</v>
          </cell>
          <cell r="AM173" t="str">
            <v>--</v>
          </cell>
          <cell r="AN173" t="str">
            <v>--</v>
          </cell>
          <cell r="AO173" t="str">
            <v>--</v>
          </cell>
          <cell r="AP173" t="str">
            <v>--</v>
          </cell>
          <cell r="AQ173" t="str">
            <v>--</v>
          </cell>
          <cell r="AR173" t="str">
            <v>--</v>
          </cell>
          <cell r="AS173" t="str">
            <v>--</v>
          </cell>
          <cell r="AT173" t="str">
            <v>--</v>
          </cell>
          <cell r="AU173" t="str">
            <v>--</v>
          </cell>
          <cell r="AV173" t="str">
            <v>--</v>
          </cell>
          <cell r="AW173" t="str">
            <v>--</v>
          </cell>
          <cell r="AX173" t="str">
            <v>--</v>
          </cell>
          <cell r="AY173" t="str">
            <v>--</v>
          </cell>
          <cell r="AZ173" t="str">
            <v>--</v>
          </cell>
          <cell r="BA173" t="str">
            <v>--</v>
          </cell>
          <cell r="BB173" t="str">
            <v>--</v>
          </cell>
          <cell r="BC173" t="str">
            <v>--</v>
          </cell>
          <cell r="BD173" t="str">
            <v>--</v>
          </cell>
          <cell r="BE173" t="str">
            <v>--</v>
          </cell>
          <cell r="BF173" t="str">
            <v>--</v>
          </cell>
          <cell r="BG173" t="str">
            <v>--</v>
          </cell>
          <cell r="BH173" t="str">
            <v>--</v>
          </cell>
          <cell r="BI173" t="str">
            <v>--</v>
          </cell>
          <cell r="BJ173" t="str">
            <v>--</v>
          </cell>
          <cell r="BK173" t="str">
            <v>--</v>
          </cell>
          <cell r="BL173" t="str">
            <v>--</v>
          </cell>
          <cell r="BM173" t="str">
            <v>--</v>
          </cell>
          <cell r="BN173" t="str">
            <v>--</v>
          </cell>
          <cell r="BO173" t="str">
            <v>--</v>
          </cell>
          <cell r="BP173" t="str">
            <v>--</v>
          </cell>
          <cell r="BQ173" t="str">
            <v>--</v>
          </cell>
          <cell r="BR173" t="str">
            <v>--</v>
          </cell>
          <cell r="BS173" t="str">
            <v>--</v>
          </cell>
          <cell r="BT173" t="str">
            <v>--</v>
          </cell>
          <cell r="BU173" t="str">
            <v>--</v>
          </cell>
          <cell r="BV173" t="str">
            <v>--</v>
          </cell>
          <cell r="BW173" t="str">
            <v>--</v>
          </cell>
          <cell r="BX173" t="str">
            <v>--</v>
          </cell>
          <cell r="BY173" t="str">
            <v>--</v>
          </cell>
          <cell r="BZ173" t="str">
            <v>--</v>
          </cell>
          <cell r="CA173" t="str">
            <v>--</v>
          </cell>
          <cell r="CB173" t="str">
            <v>--</v>
          </cell>
          <cell r="CC173" t="str">
            <v>--</v>
          </cell>
          <cell r="CD173" t="str">
            <v>--</v>
          </cell>
          <cell r="CE173" t="str">
            <v>--</v>
          </cell>
          <cell r="CF173" t="str">
            <v>--</v>
          </cell>
          <cell r="CG173" t="str">
            <v>--</v>
          </cell>
          <cell r="CH173" t="str">
            <v>--</v>
          </cell>
          <cell r="CI173" t="str">
            <v>--</v>
          </cell>
          <cell r="CJ173" t="str">
            <v>--</v>
          </cell>
          <cell r="CK173" t="str">
            <v>--</v>
          </cell>
          <cell r="CL173" t="str">
            <v>--</v>
          </cell>
          <cell r="CM173" t="str">
            <v>--</v>
          </cell>
          <cell r="CN173" t="str">
            <v>--</v>
          </cell>
          <cell r="CO173" t="str">
            <v>--</v>
          </cell>
          <cell r="CP173" t="str">
            <v>--</v>
          </cell>
          <cell r="CQ173" t="str">
            <v>--</v>
          </cell>
          <cell r="CR173" t="str">
            <v>--</v>
          </cell>
          <cell r="CS173" t="str">
            <v>--</v>
          </cell>
          <cell r="CT173" t="str">
            <v>--</v>
          </cell>
          <cell r="CU173" t="str">
            <v>--</v>
          </cell>
          <cell r="CV173" t="str">
            <v>--</v>
          </cell>
          <cell r="CW173" t="str">
            <v>--</v>
          </cell>
          <cell r="CX173" t="str">
            <v>--</v>
          </cell>
          <cell r="CY173" t="str">
            <v>--</v>
          </cell>
          <cell r="CZ173" t="str">
            <v>--</v>
          </cell>
          <cell r="DA173" t="str">
            <v>--</v>
          </cell>
          <cell r="DB173" t="str">
            <v>--</v>
          </cell>
          <cell r="DC173" t="str">
            <v>--</v>
          </cell>
          <cell r="DD173" t="str">
            <v>--</v>
          </cell>
          <cell r="DE173" t="str">
            <v>--</v>
          </cell>
          <cell r="DF173" t="str">
            <v>--</v>
          </cell>
          <cell r="DG173" t="str">
            <v>--</v>
          </cell>
          <cell r="DH173" t="str">
            <v>--</v>
          </cell>
          <cell r="DI173" t="str">
            <v>--</v>
          </cell>
          <cell r="DJ173" t="str">
            <v>--</v>
          </cell>
          <cell r="DK173" t="str">
            <v>--</v>
          </cell>
          <cell r="DL173" t="str">
            <v>--</v>
          </cell>
          <cell r="DM173" t="str">
            <v>--</v>
          </cell>
          <cell r="DN173" t="str">
            <v>--</v>
          </cell>
          <cell r="DO173" t="str">
            <v>--</v>
          </cell>
          <cell r="DP173" t="str">
            <v>--</v>
          </cell>
          <cell r="DQ173" t="str">
            <v>--</v>
          </cell>
          <cell r="DR173" t="str">
            <v>--</v>
          </cell>
          <cell r="DS173" t="str">
            <v>--</v>
          </cell>
          <cell r="DT173" t="str">
            <v>--</v>
          </cell>
          <cell r="DU173" t="str">
            <v>--</v>
          </cell>
          <cell r="DV173" t="str">
            <v>--</v>
          </cell>
          <cell r="DW173" t="str">
            <v>--</v>
          </cell>
          <cell r="DX173" t="str">
            <v>--</v>
          </cell>
          <cell r="DY173" t="str">
            <v>--</v>
          </cell>
          <cell r="DZ173" t="str">
            <v>--</v>
          </cell>
          <cell r="EA173" t="str">
            <v>--</v>
          </cell>
          <cell r="EB173" t="str">
            <v>--</v>
          </cell>
          <cell r="EC173" t="str">
            <v>--</v>
          </cell>
          <cell r="ED173" t="str">
            <v>--</v>
          </cell>
          <cell r="EE173" t="str">
            <v>--</v>
          </cell>
          <cell r="EF173" t="str">
            <v>--</v>
          </cell>
          <cell r="EG173" t="str">
            <v>--</v>
          </cell>
        </row>
        <row r="174">
          <cell r="A174" t="str">
            <v>01490048Students w/disabilities</v>
          </cell>
          <cell r="B174" t="str">
            <v>01490048D</v>
          </cell>
          <cell r="C174" t="str">
            <v>0149</v>
          </cell>
          <cell r="D174" t="str">
            <v>01490048</v>
          </cell>
          <cell r="E174" t="str">
            <v>Lawrence</v>
          </cell>
          <cell r="F174" t="str">
            <v>Oliver Partnership School</v>
          </cell>
          <cell r="G174" t="str">
            <v/>
          </cell>
          <cell r="H174" t="str">
            <v>Lawrence - Oliver Partnership School (01490048)</v>
          </cell>
          <cell r="I174" t="str">
            <v>Students w/disabilities</v>
          </cell>
          <cell r="J174" t="str">
            <v>01490048Students w/disabilities</v>
          </cell>
          <cell r="K174" t="str">
            <v>--</v>
          </cell>
          <cell r="L174">
            <v>44.2</v>
          </cell>
          <cell r="M174">
            <v>48.9</v>
          </cell>
          <cell r="N174">
            <v>40.299999999999997</v>
          </cell>
          <cell r="O174">
            <v>53.5</v>
          </cell>
          <cell r="P174">
            <v>30.5</v>
          </cell>
          <cell r="Q174">
            <v>58.2</v>
          </cell>
          <cell r="R174">
            <v>62.8</v>
          </cell>
          <cell r="S174">
            <v>67.5</v>
          </cell>
          <cell r="T174">
            <v>72.099999999999994</v>
          </cell>
          <cell r="U174">
            <v>35.799999999999997</v>
          </cell>
          <cell r="V174">
            <v>41.2</v>
          </cell>
          <cell r="W174">
            <v>35.4</v>
          </cell>
          <cell r="X174">
            <v>46.5</v>
          </cell>
          <cell r="Y174">
            <v>35.200000000000003</v>
          </cell>
          <cell r="Z174">
            <v>51.9</v>
          </cell>
          <cell r="AA174">
            <v>57.2</v>
          </cell>
          <cell r="AB174">
            <v>62.6</v>
          </cell>
          <cell r="AC174">
            <v>67.900000000000006</v>
          </cell>
          <cell r="AD174">
            <v>28.6</v>
          </cell>
          <cell r="AE174" t="str">
            <v>--</v>
          </cell>
          <cell r="AF174">
            <v>38.9</v>
          </cell>
          <cell r="AG174" t="str">
            <v>--</v>
          </cell>
          <cell r="AH174">
            <v>28.6</v>
          </cell>
          <cell r="AI174">
            <v>34.6</v>
          </cell>
          <cell r="AJ174">
            <v>40.5</v>
          </cell>
          <cell r="AK174">
            <v>46.5</v>
          </cell>
          <cell r="AL174">
            <v>52.4</v>
          </cell>
          <cell r="AM174" t="str">
            <v>--</v>
          </cell>
          <cell r="AN174" t="str">
            <v>--</v>
          </cell>
          <cell r="AO174" t="str">
            <v>--</v>
          </cell>
          <cell r="AP174" t="str">
            <v>--</v>
          </cell>
          <cell r="AQ174" t="str">
            <v>--</v>
          </cell>
          <cell r="AR174" t="str">
            <v>--</v>
          </cell>
          <cell r="AS174" t="str">
            <v>--</v>
          </cell>
          <cell r="AT174" t="str">
            <v>--</v>
          </cell>
          <cell r="AU174" t="str">
            <v>--</v>
          </cell>
          <cell r="AV174" t="str">
            <v>--</v>
          </cell>
          <cell r="AW174" t="str">
            <v>--</v>
          </cell>
          <cell r="AX174" t="str">
            <v>--</v>
          </cell>
          <cell r="AY174" t="str">
            <v>--</v>
          </cell>
          <cell r="AZ174" t="str">
            <v>--</v>
          </cell>
          <cell r="BA174" t="str">
            <v>--</v>
          </cell>
          <cell r="BB174" t="str">
            <v>--</v>
          </cell>
          <cell r="BC174" t="str">
            <v>--</v>
          </cell>
          <cell r="BD174" t="str">
            <v>--</v>
          </cell>
          <cell r="BE174" t="str">
            <v>--</v>
          </cell>
          <cell r="BF174" t="str">
            <v>--</v>
          </cell>
          <cell r="BG174" t="str">
            <v>--</v>
          </cell>
          <cell r="BH174" t="str">
            <v>--</v>
          </cell>
          <cell r="BI174" t="str">
            <v>--</v>
          </cell>
          <cell r="BJ174" t="str">
            <v>--</v>
          </cell>
          <cell r="BK174" t="str">
            <v>--</v>
          </cell>
          <cell r="BL174" t="str">
            <v>--</v>
          </cell>
          <cell r="BM174" t="str">
            <v>--</v>
          </cell>
          <cell r="BN174" t="str">
            <v>--</v>
          </cell>
          <cell r="BO174" t="str">
            <v>--</v>
          </cell>
          <cell r="BP174">
            <v>31</v>
          </cell>
          <cell r="BQ174">
            <v>41</v>
          </cell>
          <cell r="BR174">
            <v>28</v>
          </cell>
          <cell r="BS174">
            <v>38</v>
          </cell>
          <cell r="BT174">
            <v>48</v>
          </cell>
          <cell r="BU174">
            <v>51</v>
          </cell>
          <cell r="BV174">
            <v>51</v>
          </cell>
          <cell r="BW174" t="str">
            <v>--</v>
          </cell>
          <cell r="BX174" t="str">
            <v>--</v>
          </cell>
          <cell r="BY174">
            <v>31</v>
          </cell>
          <cell r="BZ174">
            <v>41</v>
          </cell>
          <cell r="CA174">
            <v>32</v>
          </cell>
          <cell r="CB174">
            <v>42</v>
          </cell>
          <cell r="CC174">
            <v>51</v>
          </cell>
          <cell r="CD174">
            <v>51</v>
          </cell>
          <cell r="CE174">
            <v>51</v>
          </cell>
          <cell r="CF174">
            <v>51.7</v>
          </cell>
          <cell r="CG174">
            <v>46.5</v>
          </cell>
          <cell r="CH174">
            <v>61.3</v>
          </cell>
          <cell r="CI174">
            <v>55.2</v>
          </cell>
          <cell r="CJ174">
            <v>72.900000000000006</v>
          </cell>
          <cell r="CK174">
            <v>65.599999999999994</v>
          </cell>
          <cell r="CL174">
            <v>59</v>
          </cell>
          <cell r="CM174">
            <v>53.1</v>
          </cell>
          <cell r="CN174">
            <v>47.8</v>
          </cell>
          <cell r="CO174">
            <v>66.7</v>
          </cell>
          <cell r="CP174">
            <v>60</v>
          </cell>
          <cell r="CQ174">
            <v>75</v>
          </cell>
          <cell r="CR174">
            <v>67.5</v>
          </cell>
          <cell r="CS174">
            <v>67.2</v>
          </cell>
          <cell r="CT174">
            <v>60.5</v>
          </cell>
          <cell r="CU174">
            <v>54.4</v>
          </cell>
          <cell r="CV174">
            <v>49</v>
          </cell>
          <cell r="CW174">
            <v>44.1</v>
          </cell>
          <cell r="CX174">
            <v>62.5</v>
          </cell>
          <cell r="CY174" t="str">
            <v>--</v>
          </cell>
          <cell r="CZ174">
            <v>55.6</v>
          </cell>
          <cell r="DA174" t="str">
            <v>--</v>
          </cell>
          <cell r="DB174">
            <v>81</v>
          </cell>
          <cell r="DC174">
            <v>72.900000000000006</v>
          </cell>
          <cell r="DD174">
            <v>65.599999999999994</v>
          </cell>
          <cell r="DE174">
            <v>59</v>
          </cell>
          <cell r="DF174">
            <v>53.1</v>
          </cell>
          <cell r="DG174">
            <v>0</v>
          </cell>
          <cell r="DH174">
            <v>1</v>
          </cell>
          <cell r="DI174">
            <v>0</v>
          </cell>
          <cell r="DJ174">
            <v>1</v>
          </cell>
          <cell r="DK174">
            <v>0</v>
          </cell>
          <cell r="DL174">
            <v>1</v>
          </cell>
          <cell r="DM174">
            <v>1.1000000000000001</v>
          </cell>
          <cell r="DN174">
            <v>1.2</v>
          </cell>
          <cell r="DO174">
            <v>1.3</v>
          </cell>
          <cell r="DP174">
            <v>0</v>
          </cell>
          <cell r="DQ174">
            <v>1</v>
          </cell>
          <cell r="DR174">
            <v>0</v>
          </cell>
          <cell r="DS174">
            <v>1</v>
          </cell>
          <cell r="DT174">
            <v>0</v>
          </cell>
          <cell r="DU174">
            <v>1</v>
          </cell>
          <cell r="DV174">
            <v>1.1000000000000001</v>
          </cell>
          <cell r="DW174">
            <v>1.2</v>
          </cell>
          <cell r="DX174">
            <v>1.3</v>
          </cell>
          <cell r="DY174">
            <v>0</v>
          </cell>
          <cell r="DZ174" t="str">
            <v>--</v>
          </cell>
          <cell r="EA174">
            <v>0</v>
          </cell>
          <cell r="EB174" t="str">
            <v>--</v>
          </cell>
          <cell r="EC174">
            <v>0</v>
          </cell>
          <cell r="ED174">
            <v>1</v>
          </cell>
          <cell r="EE174">
            <v>1.1000000000000001</v>
          </cell>
          <cell r="EF174">
            <v>1.2</v>
          </cell>
          <cell r="EG174">
            <v>1.3</v>
          </cell>
        </row>
        <row r="175">
          <cell r="A175" t="str">
            <v>01490048Low income</v>
          </cell>
          <cell r="B175" t="str">
            <v>01490048F</v>
          </cell>
          <cell r="C175" t="str">
            <v>0149</v>
          </cell>
          <cell r="D175" t="str">
            <v>01490048</v>
          </cell>
          <cell r="E175" t="str">
            <v>Lawrence</v>
          </cell>
          <cell r="F175" t="str">
            <v>Oliver Partnership School</v>
          </cell>
          <cell r="G175" t="str">
            <v/>
          </cell>
          <cell r="H175" t="str">
            <v>Lawrence - Oliver Partnership School (01490048)</v>
          </cell>
          <cell r="I175" t="str">
            <v>Low income</v>
          </cell>
          <cell r="J175" t="str">
            <v>01490048Low income</v>
          </cell>
          <cell r="K175" t="str">
            <v>--</v>
          </cell>
          <cell r="L175">
            <v>59.2</v>
          </cell>
          <cell r="M175">
            <v>62.6</v>
          </cell>
          <cell r="N175">
            <v>58.9</v>
          </cell>
          <cell r="O175">
            <v>66</v>
          </cell>
          <cell r="P175">
            <v>59.1</v>
          </cell>
          <cell r="Q175">
            <v>69.400000000000006</v>
          </cell>
          <cell r="R175">
            <v>72.8</v>
          </cell>
          <cell r="S175">
            <v>76.2</v>
          </cell>
          <cell r="T175">
            <v>79.599999999999994</v>
          </cell>
          <cell r="U175">
            <v>56.9</v>
          </cell>
          <cell r="V175">
            <v>60.5</v>
          </cell>
          <cell r="W175">
            <v>53.2</v>
          </cell>
          <cell r="X175">
            <v>64.099999999999994</v>
          </cell>
          <cell r="Y175">
            <v>59.6</v>
          </cell>
          <cell r="Z175">
            <v>67.7</v>
          </cell>
          <cell r="AA175">
            <v>71.3</v>
          </cell>
          <cell r="AB175">
            <v>74.900000000000006</v>
          </cell>
          <cell r="AC175">
            <v>78.5</v>
          </cell>
          <cell r="AD175">
            <v>40.5</v>
          </cell>
          <cell r="AE175">
            <v>45.5</v>
          </cell>
          <cell r="AF175">
            <v>51.5</v>
          </cell>
          <cell r="AG175">
            <v>50.4</v>
          </cell>
          <cell r="AH175">
            <v>44.7</v>
          </cell>
          <cell r="AI175">
            <v>55.4</v>
          </cell>
          <cell r="AJ175">
            <v>60.3</v>
          </cell>
          <cell r="AK175">
            <v>65.3</v>
          </cell>
          <cell r="AL175">
            <v>70.3</v>
          </cell>
          <cell r="AM175" t="str">
            <v>--</v>
          </cell>
          <cell r="AN175" t="str">
            <v>--</v>
          </cell>
          <cell r="AO175" t="str">
            <v>--</v>
          </cell>
          <cell r="AP175" t="str">
            <v>--</v>
          </cell>
          <cell r="AQ175" t="str">
            <v>--</v>
          </cell>
          <cell r="AR175" t="str">
            <v>--</v>
          </cell>
          <cell r="AS175" t="str">
            <v>--</v>
          </cell>
          <cell r="AT175" t="str">
            <v>--</v>
          </cell>
          <cell r="AU175" t="str">
            <v>--</v>
          </cell>
          <cell r="AV175" t="str">
            <v>--</v>
          </cell>
          <cell r="AW175" t="str">
            <v>--</v>
          </cell>
          <cell r="AX175" t="str">
            <v>--</v>
          </cell>
          <cell r="AY175" t="str">
            <v>--</v>
          </cell>
          <cell r="AZ175" t="str">
            <v>--</v>
          </cell>
          <cell r="BA175" t="str">
            <v>--</v>
          </cell>
          <cell r="BB175" t="str">
            <v>--</v>
          </cell>
          <cell r="BC175" t="str">
            <v>--</v>
          </cell>
          <cell r="BD175" t="str">
            <v>--</v>
          </cell>
          <cell r="BE175" t="str">
            <v>--</v>
          </cell>
          <cell r="BF175" t="str">
            <v>--</v>
          </cell>
          <cell r="BG175" t="str">
            <v>--</v>
          </cell>
          <cell r="BH175" t="str">
            <v>--</v>
          </cell>
          <cell r="BI175" t="str">
            <v>--</v>
          </cell>
          <cell r="BJ175" t="str">
            <v>--</v>
          </cell>
          <cell r="BK175" t="str">
            <v>--</v>
          </cell>
          <cell r="BL175" t="str">
            <v>--</v>
          </cell>
          <cell r="BM175" t="str">
            <v>--</v>
          </cell>
          <cell r="BN175">
            <v>27</v>
          </cell>
          <cell r="BO175">
            <v>37</v>
          </cell>
          <cell r="BP175">
            <v>40</v>
          </cell>
          <cell r="BQ175">
            <v>50</v>
          </cell>
          <cell r="BR175">
            <v>34</v>
          </cell>
          <cell r="BS175">
            <v>44</v>
          </cell>
          <cell r="BT175">
            <v>51</v>
          </cell>
          <cell r="BU175">
            <v>51</v>
          </cell>
          <cell r="BV175">
            <v>51</v>
          </cell>
          <cell r="BW175">
            <v>24.5</v>
          </cell>
          <cell r="BX175">
            <v>34.5</v>
          </cell>
          <cell r="BY175">
            <v>35</v>
          </cell>
          <cell r="BZ175">
            <v>45</v>
          </cell>
          <cell r="CA175">
            <v>26</v>
          </cell>
          <cell r="CB175">
            <v>36</v>
          </cell>
          <cell r="CC175">
            <v>46</v>
          </cell>
          <cell r="CD175">
            <v>51</v>
          </cell>
          <cell r="CE175">
            <v>51</v>
          </cell>
          <cell r="CF175">
            <v>28.8</v>
          </cell>
          <cell r="CG175">
            <v>25.9</v>
          </cell>
          <cell r="CH175">
            <v>30.6</v>
          </cell>
          <cell r="CI175">
            <v>27.5</v>
          </cell>
          <cell r="CJ175">
            <v>30.2</v>
          </cell>
          <cell r="CK175">
            <v>27.2</v>
          </cell>
          <cell r="CL175">
            <v>24.5</v>
          </cell>
          <cell r="CM175">
            <v>22</v>
          </cell>
          <cell r="CN175">
            <v>19.8</v>
          </cell>
          <cell r="CO175">
            <v>34.700000000000003</v>
          </cell>
          <cell r="CP175">
            <v>31.2</v>
          </cell>
          <cell r="CQ175">
            <v>40.5</v>
          </cell>
          <cell r="CR175">
            <v>36.5</v>
          </cell>
          <cell r="CS175">
            <v>32.200000000000003</v>
          </cell>
          <cell r="CT175">
            <v>29</v>
          </cell>
          <cell r="CU175">
            <v>26.1</v>
          </cell>
          <cell r="CV175">
            <v>23.5</v>
          </cell>
          <cell r="CW175">
            <v>21.1</v>
          </cell>
          <cell r="CX175">
            <v>54</v>
          </cell>
          <cell r="CY175">
            <v>48.6</v>
          </cell>
          <cell r="CZ175">
            <v>36.4</v>
          </cell>
          <cell r="DA175">
            <v>32.799999999999997</v>
          </cell>
          <cell r="DB175">
            <v>47</v>
          </cell>
          <cell r="DC175">
            <v>42.3</v>
          </cell>
          <cell r="DD175">
            <v>38.1</v>
          </cell>
          <cell r="DE175">
            <v>34.299999999999997</v>
          </cell>
          <cell r="DF175">
            <v>30.8</v>
          </cell>
          <cell r="DG175">
            <v>2</v>
          </cell>
          <cell r="DH175">
            <v>2.2000000000000002</v>
          </cell>
          <cell r="DI175">
            <v>1.9</v>
          </cell>
          <cell r="DJ175">
            <v>2.1</v>
          </cell>
          <cell r="DK175">
            <v>1.5</v>
          </cell>
          <cell r="DL175">
            <v>1.7</v>
          </cell>
          <cell r="DM175">
            <v>1.8</v>
          </cell>
          <cell r="DN175">
            <v>2</v>
          </cell>
          <cell r="DO175">
            <v>2.2000000000000002</v>
          </cell>
          <cell r="DP175">
            <v>1.5</v>
          </cell>
          <cell r="DQ175">
            <v>1.7</v>
          </cell>
          <cell r="DR175">
            <v>3.9</v>
          </cell>
          <cell r="DS175">
            <v>4.3</v>
          </cell>
          <cell r="DT175">
            <v>6.1</v>
          </cell>
          <cell r="DU175">
            <v>6.7</v>
          </cell>
          <cell r="DV175">
            <v>7.4</v>
          </cell>
          <cell r="DW175">
            <v>8.1</v>
          </cell>
          <cell r="DX175">
            <v>8.9</v>
          </cell>
          <cell r="DY175">
            <v>0</v>
          </cell>
          <cell r="DZ175">
            <v>1</v>
          </cell>
          <cell r="EA175">
            <v>0</v>
          </cell>
          <cell r="EB175">
            <v>1</v>
          </cell>
          <cell r="EC175">
            <v>0</v>
          </cell>
          <cell r="ED175">
            <v>1</v>
          </cell>
          <cell r="EE175">
            <v>1.1000000000000001</v>
          </cell>
          <cell r="EF175">
            <v>1.2</v>
          </cell>
          <cell r="EG175">
            <v>1.3</v>
          </cell>
        </row>
        <row r="176">
          <cell r="A176" t="str">
            <v>01490048Hispanic/Latino</v>
          </cell>
          <cell r="B176" t="str">
            <v>01490048H</v>
          </cell>
          <cell r="C176" t="str">
            <v>0149</v>
          </cell>
          <cell r="D176" t="str">
            <v>01490048</v>
          </cell>
          <cell r="E176" t="str">
            <v>Lawrence</v>
          </cell>
          <cell r="F176" t="str">
            <v>Oliver Partnership School</v>
          </cell>
          <cell r="G176" t="str">
            <v/>
          </cell>
          <cell r="H176" t="str">
            <v>Lawrence - Oliver Partnership School (01490048)</v>
          </cell>
          <cell r="I176" t="str">
            <v>Hispanic/Latino</v>
          </cell>
          <cell r="J176" t="str">
            <v>01490048Hispanic/Latino</v>
          </cell>
          <cell r="K176" t="str">
            <v>--</v>
          </cell>
          <cell r="L176">
            <v>59.4</v>
          </cell>
          <cell r="M176">
            <v>62.8</v>
          </cell>
          <cell r="N176">
            <v>59</v>
          </cell>
          <cell r="O176">
            <v>66.2</v>
          </cell>
          <cell r="P176">
            <v>58.9</v>
          </cell>
          <cell r="Q176">
            <v>69.599999999999994</v>
          </cell>
          <cell r="R176">
            <v>72.900000000000006</v>
          </cell>
          <cell r="S176">
            <v>76.3</v>
          </cell>
          <cell r="T176">
            <v>79.7</v>
          </cell>
          <cell r="U176">
            <v>57.1</v>
          </cell>
          <cell r="V176">
            <v>60.7</v>
          </cell>
          <cell r="W176">
            <v>54.6</v>
          </cell>
          <cell r="X176">
            <v>64.3</v>
          </cell>
          <cell r="Y176">
            <v>59</v>
          </cell>
          <cell r="Z176">
            <v>67.8</v>
          </cell>
          <cell r="AA176">
            <v>71.400000000000006</v>
          </cell>
          <cell r="AB176">
            <v>75</v>
          </cell>
          <cell r="AC176">
            <v>78.599999999999994</v>
          </cell>
          <cell r="AD176">
            <v>40.700000000000003</v>
          </cell>
          <cell r="AE176">
            <v>45.6</v>
          </cell>
          <cell r="AF176">
            <v>52.3</v>
          </cell>
          <cell r="AG176">
            <v>50.6</v>
          </cell>
          <cell r="AH176">
            <v>42.6</v>
          </cell>
          <cell r="AI176">
            <v>55.5</v>
          </cell>
          <cell r="AJ176">
            <v>60.5</v>
          </cell>
          <cell r="AK176">
            <v>65.400000000000006</v>
          </cell>
          <cell r="AL176">
            <v>70.400000000000006</v>
          </cell>
          <cell r="AM176" t="str">
            <v>--</v>
          </cell>
          <cell r="AN176" t="str">
            <v>--</v>
          </cell>
          <cell r="AO176" t="str">
            <v>--</v>
          </cell>
          <cell r="AP176" t="str">
            <v>--</v>
          </cell>
          <cell r="AQ176" t="str">
            <v>--</v>
          </cell>
          <cell r="AR176" t="str">
            <v>--</v>
          </cell>
          <cell r="AS176" t="str">
            <v>--</v>
          </cell>
          <cell r="AT176" t="str">
            <v>--</v>
          </cell>
          <cell r="AU176" t="str">
            <v>--</v>
          </cell>
          <cell r="AV176" t="str">
            <v>--</v>
          </cell>
          <cell r="AW176" t="str">
            <v>--</v>
          </cell>
          <cell r="AX176" t="str">
            <v>--</v>
          </cell>
          <cell r="AY176" t="str">
            <v>--</v>
          </cell>
          <cell r="AZ176" t="str">
            <v>--</v>
          </cell>
          <cell r="BA176" t="str">
            <v>--</v>
          </cell>
          <cell r="BB176" t="str">
            <v>--</v>
          </cell>
          <cell r="BC176" t="str">
            <v>--</v>
          </cell>
          <cell r="BD176" t="str">
            <v>--</v>
          </cell>
          <cell r="BE176" t="str">
            <v>--</v>
          </cell>
          <cell r="BF176" t="str">
            <v>--</v>
          </cell>
          <cell r="BG176" t="str">
            <v>--</v>
          </cell>
          <cell r="BH176" t="str">
            <v>--</v>
          </cell>
          <cell r="BI176" t="str">
            <v>--</v>
          </cell>
          <cell r="BJ176" t="str">
            <v>--</v>
          </cell>
          <cell r="BK176" t="str">
            <v>--</v>
          </cell>
          <cell r="BL176" t="str">
            <v>--</v>
          </cell>
          <cell r="BM176" t="str">
            <v>--</v>
          </cell>
          <cell r="BN176">
            <v>27</v>
          </cell>
          <cell r="BO176">
            <v>37</v>
          </cell>
          <cell r="BP176">
            <v>41</v>
          </cell>
          <cell r="BQ176">
            <v>51</v>
          </cell>
          <cell r="BR176">
            <v>34</v>
          </cell>
          <cell r="BS176">
            <v>44</v>
          </cell>
          <cell r="BT176">
            <v>51</v>
          </cell>
          <cell r="BU176">
            <v>51</v>
          </cell>
          <cell r="BV176">
            <v>51</v>
          </cell>
          <cell r="BW176">
            <v>24.5</v>
          </cell>
          <cell r="BX176">
            <v>34.5</v>
          </cell>
          <cell r="BY176">
            <v>36</v>
          </cell>
          <cell r="BZ176">
            <v>46</v>
          </cell>
          <cell r="CA176">
            <v>27</v>
          </cell>
          <cell r="CB176">
            <v>37</v>
          </cell>
          <cell r="CC176">
            <v>47</v>
          </cell>
          <cell r="CD176">
            <v>51</v>
          </cell>
          <cell r="CE176">
            <v>51</v>
          </cell>
          <cell r="CF176">
            <v>28.7</v>
          </cell>
          <cell r="CG176">
            <v>25.8</v>
          </cell>
          <cell r="CH176">
            <v>29.8</v>
          </cell>
          <cell r="CI176">
            <v>26.8</v>
          </cell>
          <cell r="CJ176">
            <v>31.1</v>
          </cell>
          <cell r="CK176">
            <v>28</v>
          </cell>
          <cell r="CL176">
            <v>25.2</v>
          </cell>
          <cell r="CM176">
            <v>22.7</v>
          </cell>
          <cell r="CN176">
            <v>20.399999999999999</v>
          </cell>
          <cell r="CO176">
            <v>34</v>
          </cell>
          <cell r="CP176">
            <v>30.6</v>
          </cell>
          <cell r="CQ176">
            <v>38.6</v>
          </cell>
          <cell r="CR176">
            <v>34.700000000000003</v>
          </cell>
          <cell r="CS176">
            <v>32.9</v>
          </cell>
          <cell r="CT176">
            <v>29.6</v>
          </cell>
          <cell r="CU176">
            <v>26.6</v>
          </cell>
          <cell r="CV176">
            <v>24</v>
          </cell>
          <cell r="CW176">
            <v>21.6</v>
          </cell>
          <cell r="CX176">
            <v>53.2</v>
          </cell>
          <cell r="CY176">
            <v>47.9</v>
          </cell>
          <cell r="CZ176">
            <v>34.799999999999997</v>
          </cell>
          <cell r="DA176">
            <v>31.3</v>
          </cell>
          <cell r="DB176">
            <v>52.7</v>
          </cell>
          <cell r="DC176">
            <v>47.4</v>
          </cell>
          <cell r="DD176">
            <v>42.7</v>
          </cell>
          <cell r="DE176">
            <v>38.4</v>
          </cell>
          <cell r="DF176">
            <v>34.6</v>
          </cell>
          <cell r="DG176">
            <v>2</v>
          </cell>
          <cell r="DH176">
            <v>2.2000000000000002</v>
          </cell>
          <cell r="DI176">
            <v>1.9</v>
          </cell>
          <cell r="DJ176">
            <v>2.1</v>
          </cell>
          <cell r="DK176">
            <v>1.4</v>
          </cell>
          <cell r="DL176">
            <v>1.5</v>
          </cell>
          <cell r="DM176">
            <v>1.7</v>
          </cell>
          <cell r="DN176">
            <v>1.9</v>
          </cell>
          <cell r="DO176">
            <v>2</v>
          </cell>
          <cell r="DP176">
            <v>1.5</v>
          </cell>
          <cell r="DQ176">
            <v>1.7</v>
          </cell>
          <cell r="DR176">
            <v>3.9</v>
          </cell>
          <cell r="DS176">
            <v>4.3</v>
          </cell>
          <cell r="DT176">
            <v>5.7</v>
          </cell>
          <cell r="DU176">
            <v>6.3</v>
          </cell>
          <cell r="DV176">
            <v>6.9</v>
          </cell>
          <cell r="DW176">
            <v>7.6</v>
          </cell>
          <cell r="DX176">
            <v>8.3000000000000007</v>
          </cell>
          <cell r="DY176">
            <v>0</v>
          </cell>
          <cell r="DZ176">
            <v>1</v>
          </cell>
          <cell r="EA176">
            <v>0</v>
          </cell>
          <cell r="EB176">
            <v>1</v>
          </cell>
          <cell r="EC176">
            <v>0</v>
          </cell>
          <cell r="ED176">
            <v>1</v>
          </cell>
          <cell r="EE176">
            <v>1.1000000000000001</v>
          </cell>
          <cell r="EF176">
            <v>1.2</v>
          </cell>
          <cell r="EG176">
            <v>1.3</v>
          </cell>
        </row>
        <row r="177">
          <cell r="A177" t="str">
            <v>01490048ELL and Former ELL</v>
          </cell>
          <cell r="B177" t="str">
            <v>01490048L</v>
          </cell>
          <cell r="C177" t="str">
            <v>0149</v>
          </cell>
          <cell r="D177" t="str">
            <v>01490048</v>
          </cell>
          <cell r="E177" t="str">
            <v>Lawrence</v>
          </cell>
          <cell r="F177" t="str">
            <v>Oliver Partnership School</v>
          </cell>
          <cell r="G177" t="str">
            <v/>
          </cell>
          <cell r="H177" t="str">
            <v>Lawrence - Oliver Partnership School (01490048)</v>
          </cell>
          <cell r="I177" t="str">
            <v>ELL and Former ELL</v>
          </cell>
          <cell r="J177" t="str">
            <v>01490048ELL and Former ELL</v>
          </cell>
          <cell r="K177" t="str">
            <v>--</v>
          </cell>
          <cell r="L177">
            <v>48.3</v>
          </cell>
          <cell r="M177">
            <v>52.6</v>
          </cell>
          <cell r="N177">
            <v>56.3</v>
          </cell>
          <cell r="O177">
            <v>56.9</v>
          </cell>
          <cell r="P177">
            <v>51.2</v>
          </cell>
          <cell r="Q177">
            <v>61.2</v>
          </cell>
          <cell r="R177">
            <v>65.5</v>
          </cell>
          <cell r="S177">
            <v>69.8</v>
          </cell>
          <cell r="T177">
            <v>74.2</v>
          </cell>
          <cell r="U177">
            <v>47.7</v>
          </cell>
          <cell r="V177">
            <v>52.1</v>
          </cell>
          <cell r="W177">
            <v>50.5</v>
          </cell>
          <cell r="X177">
            <v>56.4</v>
          </cell>
          <cell r="Y177">
            <v>54.4</v>
          </cell>
          <cell r="Z177">
            <v>60.8</v>
          </cell>
          <cell r="AA177">
            <v>65.099999999999994</v>
          </cell>
          <cell r="AB177">
            <v>69.5</v>
          </cell>
          <cell r="AC177">
            <v>73.900000000000006</v>
          </cell>
          <cell r="AD177">
            <v>56.3</v>
          </cell>
          <cell r="AE177" t="str">
            <v>--</v>
          </cell>
          <cell r="AF177">
            <v>56.3</v>
          </cell>
          <cell r="AG177">
            <v>59.9</v>
          </cell>
          <cell r="AH177">
            <v>32.6</v>
          </cell>
          <cell r="AI177">
            <v>63.6</v>
          </cell>
          <cell r="AJ177">
            <v>67.2</v>
          </cell>
          <cell r="AK177">
            <v>70.900000000000006</v>
          </cell>
          <cell r="AL177">
            <v>74.5</v>
          </cell>
          <cell r="AM177" t="str">
            <v>--</v>
          </cell>
          <cell r="AN177" t="str">
            <v>--</v>
          </cell>
          <cell r="AO177" t="str">
            <v>--</v>
          </cell>
          <cell r="AP177" t="str">
            <v>--</v>
          </cell>
          <cell r="AQ177" t="str">
            <v>--</v>
          </cell>
          <cell r="AR177" t="str">
            <v>--</v>
          </cell>
          <cell r="AS177" t="str">
            <v>--</v>
          </cell>
          <cell r="AT177" t="str">
            <v>--</v>
          </cell>
          <cell r="AU177" t="str">
            <v>--</v>
          </cell>
          <cell r="AV177" t="str">
            <v>--</v>
          </cell>
          <cell r="AW177" t="str">
            <v>--</v>
          </cell>
          <cell r="AX177" t="str">
            <v>--</v>
          </cell>
          <cell r="AY177" t="str">
            <v>--</v>
          </cell>
          <cell r="AZ177" t="str">
            <v>--</v>
          </cell>
          <cell r="BA177" t="str">
            <v>--</v>
          </cell>
          <cell r="BB177" t="str">
            <v>--</v>
          </cell>
          <cell r="BC177" t="str">
            <v>--</v>
          </cell>
          <cell r="BD177" t="str">
            <v>--</v>
          </cell>
          <cell r="BE177" t="str">
            <v>--</v>
          </cell>
          <cell r="BF177" t="str">
            <v>--</v>
          </cell>
          <cell r="BG177" t="str">
            <v>--</v>
          </cell>
          <cell r="BH177" t="str">
            <v>--</v>
          </cell>
          <cell r="BI177" t="str">
            <v>--</v>
          </cell>
          <cell r="BJ177" t="str">
            <v>--</v>
          </cell>
          <cell r="BK177" t="str">
            <v>--</v>
          </cell>
          <cell r="BL177" t="str">
            <v>--</v>
          </cell>
          <cell r="BM177" t="str">
            <v>--</v>
          </cell>
          <cell r="BN177" t="str">
            <v>--</v>
          </cell>
          <cell r="BO177" t="str">
            <v>--</v>
          </cell>
          <cell r="BP177">
            <v>45.5</v>
          </cell>
          <cell r="BQ177">
            <v>51</v>
          </cell>
          <cell r="BR177">
            <v>35.5</v>
          </cell>
          <cell r="BS177">
            <v>45.5</v>
          </cell>
          <cell r="BT177">
            <v>51</v>
          </cell>
          <cell r="BU177">
            <v>51</v>
          </cell>
          <cell r="BV177">
            <v>51</v>
          </cell>
          <cell r="BW177" t="str">
            <v>--</v>
          </cell>
          <cell r="BX177" t="str">
            <v>--</v>
          </cell>
          <cell r="BY177">
            <v>44</v>
          </cell>
          <cell r="BZ177">
            <v>51</v>
          </cell>
          <cell r="CA177">
            <v>27</v>
          </cell>
          <cell r="CB177">
            <v>37</v>
          </cell>
          <cell r="CC177">
            <v>47</v>
          </cell>
          <cell r="CD177">
            <v>51</v>
          </cell>
          <cell r="CE177">
            <v>51</v>
          </cell>
          <cell r="CF177">
            <v>44</v>
          </cell>
          <cell r="CG177">
            <v>39.6</v>
          </cell>
          <cell r="CH177">
            <v>34.1</v>
          </cell>
          <cell r="CI177">
            <v>30.7</v>
          </cell>
          <cell r="CJ177">
            <v>42.6</v>
          </cell>
          <cell r="CK177">
            <v>38.299999999999997</v>
          </cell>
          <cell r="CL177">
            <v>34.5</v>
          </cell>
          <cell r="CM177">
            <v>31.1</v>
          </cell>
          <cell r="CN177">
            <v>27.9</v>
          </cell>
          <cell r="CO177">
            <v>44.7</v>
          </cell>
          <cell r="CP177">
            <v>40.200000000000003</v>
          </cell>
          <cell r="CQ177">
            <v>47.8</v>
          </cell>
          <cell r="CR177">
            <v>43</v>
          </cell>
          <cell r="CS177">
            <v>40.4</v>
          </cell>
          <cell r="CT177">
            <v>36.4</v>
          </cell>
          <cell r="CU177">
            <v>32.700000000000003</v>
          </cell>
          <cell r="CV177">
            <v>29.5</v>
          </cell>
          <cell r="CW177">
            <v>26.5</v>
          </cell>
          <cell r="CX177">
            <v>80</v>
          </cell>
          <cell r="CY177" t="str">
            <v>--</v>
          </cell>
          <cell r="CZ177">
            <v>25</v>
          </cell>
          <cell r="DA177">
            <v>22.5</v>
          </cell>
          <cell r="DB177">
            <v>69.599999999999994</v>
          </cell>
          <cell r="DC177">
            <v>62.6</v>
          </cell>
          <cell r="DD177">
            <v>56.4</v>
          </cell>
          <cell r="DE177">
            <v>50.7</v>
          </cell>
          <cell r="DF177">
            <v>45.7</v>
          </cell>
          <cell r="DG177">
            <v>2.7</v>
          </cell>
          <cell r="DH177">
            <v>3</v>
          </cell>
          <cell r="DI177">
            <v>2.2000000000000002</v>
          </cell>
          <cell r="DJ177">
            <v>2.4</v>
          </cell>
          <cell r="DK177">
            <v>1</v>
          </cell>
          <cell r="DL177">
            <v>1.1000000000000001</v>
          </cell>
          <cell r="DM177">
            <v>1.2</v>
          </cell>
          <cell r="DN177">
            <v>1.3</v>
          </cell>
          <cell r="DO177">
            <v>1.5</v>
          </cell>
          <cell r="DP177">
            <v>0</v>
          </cell>
          <cell r="DQ177">
            <v>1</v>
          </cell>
          <cell r="DR177">
            <v>4.3</v>
          </cell>
          <cell r="DS177">
            <v>4.7</v>
          </cell>
          <cell r="DT177">
            <v>8.3000000000000007</v>
          </cell>
          <cell r="DU177">
            <v>9.1</v>
          </cell>
          <cell r="DV177">
            <v>10</v>
          </cell>
          <cell r="DW177">
            <v>11</v>
          </cell>
          <cell r="DX177">
            <v>12.2</v>
          </cell>
          <cell r="DY177">
            <v>0</v>
          </cell>
          <cell r="DZ177" t="str">
            <v>--</v>
          </cell>
          <cell r="EA177">
            <v>0</v>
          </cell>
          <cell r="EB177">
            <v>1</v>
          </cell>
          <cell r="EC177">
            <v>0</v>
          </cell>
          <cell r="ED177">
            <v>1</v>
          </cell>
          <cell r="EE177">
            <v>1.1000000000000001</v>
          </cell>
          <cell r="EF177">
            <v>1.2</v>
          </cell>
          <cell r="EG177">
            <v>1.3</v>
          </cell>
        </row>
        <row r="178">
          <cell r="A178" t="str">
            <v>01490048Multi-race, Non-Hisp./Lat.</v>
          </cell>
          <cell r="B178" t="str">
            <v>01490048M</v>
          </cell>
          <cell r="C178" t="str">
            <v>0149</v>
          </cell>
          <cell r="D178" t="str">
            <v>01490048</v>
          </cell>
          <cell r="E178" t="str">
            <v>Lawrence</v>
          </cell>
          <cell r="F178" t="str">
            <v>Oliver Partnership School</v>
          </cell>
          <cell r="G178" t="str">
            <v/>
          </cell>
          <cell r="H178" t="str">
            <v>Lawrence - Oliver Partnership School (01490048)</v>
          </cell>
          <cell r="I178" t="str">
            <v>Multi-race, Non-Hisp./Lat.</v>
          </cell>
          <cell r="J178" t="str">
            <v>01490048Multi-race, Non-Hisp./Lat.</v>
          </cell>
          <cell r="K178" t="str">
            <v>--</v>
          </cell>
          <cell r="L178" t="str">
            <v>--</v>
          </cell>
          <cell r="M178" t="str">
            <v>--</v>
          </cell>
          <cell r="N178" t="str">
            <v>--</v>
          </cell>
          <cell r="O178" t="str">
            <v>--</v>
          </cell>
          <cell r="P178" t="str">
            <v>--</v>
          </cell>
          <cell r="Q178" t="str">
            <v>--</v>
          </cell>
          <cell r="R178" t="str">
            <v>--</v>
          </cell>
          <cell r="S178" t="str">
            <v>--</v>
          </cell>
          <cell r="T178" t="str">
            <v>--</v>
          </cell>
          <cell r="U178" t="str">
            <v>--</v>
          </cell>
          <cell r="V178" t="str">
            <v>--</v>
          </cell>
          <cell r="W178" t="str">
            <v>--</v>
          </cell>
          <cell r="X178" t="str">
            <v>--</v>
          </cell>
          <cell r="Y178" t="str">
            <v>--</v>
          </cell>
          <cell r="Z178" t="str">
            <v>--</v>
          </cell>
          <cell r="AA178" t="str">
            <v>--</v>
          </cell>
          <cell r="AB178" t="str">
            <v>--</v>
          </cell>
          <cell r="AC178" t="str">
            <v>--</v>
          </cell>
          <cell r="AD178" t="str">
            <v>--</v>
          </cell>
          <cell r="AE178" t="str">
            <v>--</v>
          </cell>
          <cell r="AF178" t="str">
            <v>--</v>
          </cell>
          <cell r="AG178" t="str">
            <v>--</v>
          </cell>
          <cell r="AH178" t="str">
            <v>--</v>
          </cell>
          <cell r="AI178" t="str">
            <v>--</v>
          </cell>
          <cell r="AJ178" t="str">
            <v>--</v>
          </cell>
          <cell r="AK178" t="str">
            <v>--</v>
          </cell>
          <cell r="AL178" t="str">
            <v>--</v>
          </cell>
          <cell r="AM178" t="str">
            <v>--</v>
          </cell>
          <cell r="AN178" t="str">
            <v>--</v>
          </cell>
          <cell r="AO178" t="str">
            <v>--</v>
          </cell>
          <cell r="AP178" t="str">
            <v>--</v>
          </cell>
          <cell r="AQ178" t="str">
            <v>--</v>
          </cell>
          <cell r="AR178" t="str">
            <v>--</v>
          </cell>
          <cell r="AS178" t="str">
            <v>--</v>
          </cell>
          <cell r="AT178" t="str">
            <v>--</v>
          </cell>
          <cell r="AU178" t="str">
            <v>--</v>
          </cell>
          <cell r="AV178" t="str">
            <v>--</v>
          </cell>
          <cell r="AW178" t="str">
            <v>--</v>
          </cell>
          <cell r="AX178" t="str">
            <v>--</v>
          </cell>
          <cell r="AY178" t="str">
            <v>--</v>
          </cell>
          <cell r="AZ178" t="str">
            <v>--</v>
          </cell>
          <cell r="BA178" t="str">
            <v>--</v>
          </cell>
          <cell r="BB178" t="str">
            <v>--</v>
          </cell>
          <cell r="BC178" t="str">
            <v>--</v>
          </cell>
          <cell r="BD178" t="str">
            <v>--</v>
          </cell>
          <cell r="BE178" t="str">
            <v>--</v>
          </cell>
          <cell r="BF178" t="str">
            <v>--</v>
          </cell>
          <cell r="BG178" t="str">
            <v>--</v>
          </cell>
          <cell r="BH178" t="str">
            <v>--</v>
          </cell>
          <cell r="BI178" t="str">
            <v>--</v>
          </cell>
          <cell r="BJ178" t="str">
            <v>--</v>
          </cell>
          <cell r="BK178" t="str">
            <v>--</v>
          </cell>
          <cell r="BL178" t="str">
            <v>--</v>
          </cell>
          <cell r="BM178" t="str">
            <v>--</v>
          </cell>
          <cell r="BN178" t="str">
            <v>--</v>
          </cell>
          <cell r="BO178" t="str">
            <v>--</v>
          </cell>
          <cell r="BP178" t="str">
            <v>--</v>
          </cell>
          <cell r="BQ178" t="str">
            <v>--</v>
          </cell>
          <cell r="BR178" t="str">
            <v>--</v>
          </cell>
          <cell r="BS178" t="str">
            <v>--</v>
          </cell>
          <cell r="BT178" t="str">
            <v>--</v>
          </cell>
          <cell r="BU178" t="str">
            <v>--</v>
          </cell>
          <cell r="BV178" t="str">
            <v>--</v>
          </cell>
          <cell r="BW178" t="str">
            <v>--</v>
          </cell>
          <cell r="BX178" t="str">
            <v>--</v>
          </cell>
          <cell r="BY178" t="str">
            <v>--</v>
          </cell>
          <cell r="BZ178" t="str">
            <v>--</v>
          </cell>
          <cell r="CA178" t="str">
            <v>--</v>
          </cell>
          <cell r="CB178" t="str">
            <v>--</v>
          </cell>
          <cell r="CC178" t="str">
            <v>--</v>
          </cell>
          <cell r="CD178" t="str">
            <v>--</v>
          </cell>
          <cell r="CE178" t="str">
            <v>--</v>
          </cell>
          <cell r="CF178" t="str">
            <v>--</v>
          </cell>
          <cell r="CG178" t="str">
            <v>--</v>
          </cell>
          <cell r="CH178" t="str">
            <v>--</v>
          </cell>
          <cell r="CI178" t="str">
            <v>--</v>
          </cell>
          <cell r="CJ178" t="str">
            <v>--</v>
          </cell>
          <cell r="CK178" t="str">
            <v>--</v>
          </cell>
          <cell r="CL178" t="str">
            <v>--</v>
          </cell>
          <cell r="CM178" t="str">
            <v>--</v>
          </cell>
          <cell r="CN178" t="str">
            <v>--</v>
          </cell>
          <cell r="CO178" t="str">
            <v>--</v>
          </cell>
          <cell r="CP178" t="str">
            <v>--</v>
          </cell>
          <cell r="CQ178" t="str">
            <v>--</v>
          </cell>
          <cell r="CR178" t="str">
            <v>--</v>
          </cell>
          <cell r="CS178" t="str">
            <v>--</v>
          </cell>
          <cell r="CT178" t="str">
            <v>--</v>
          </cell>
          <cell r="CU178" t="str">
            <v>--</v>
          </cell>
          <cell r="CV178" t="str">
            <v>--</v>
          </cell>
          <cell r="CW178" t="str">
            <v>--</v>
          </cell>
          <cell r="CX178" t="str">
            <v>--</v>
          </cell>
          <cell r="CY178" t="str">
            <v>--</v>
          </cell>
          <cell r="CZ178" t="str">
            <v>--</v>
          </cell>
          <cell r="DA178" t="str">
            <v>--</v>
          </cell>
          <cell r="DB178" t="str">
            <v>--</v>
          </cell>
          <cell r="DC178" t="str">
            <v>--</v>
          </cell>
          <cell r="DD178" t="str">
            <v>--</v>
          </cell>
          <cell r="DE178" t="str">
            <v>--</v>
          </cell>
          <cell r="DF178" t="str">
            <v>--</v>
          </cell>
          <cell r="DG178" t="str">
            <v>--</v>
          </cell>
          <cell r="DH178" t="str">
            <v>--</v>
          </cell>
          <cell r="DI178" t="str">
            <v>--</v>
          </cell>
          <cell r="DJ178" t="str">
            <v>--</v>
          </cell>
          <cell r="DK178" t="str">
            <v>--</v>
          </cell>
          <cell r="DL178" t="str">
            <v>--</v>
          </cell>
          <cell r="DM178" t="str">
            <v>--</v>
          </cell>
          <cell r="DN178" t="str">
            <v>--</v>
          </cell>
          <cell r="DO178" t="str">
            <v>--</v>
          </cell>
          <cell r="DP178" t="str">
            <v>--</v>
          </cell>
          <cell r="DQ178" t="str">
            <v>--</v>
          </cell>
          <cell r="DR178" t="str">
            <v>--</v>
          </cell>
          <cell r="DS178" t="str">
            <v>--</v>
          </cell>
          <cell r="DT178" t="str">
            <v>--</v>
          </cell>
          <cell r="DU178" t="str">
            <v>--</v>
          </cell>
          <cell r="DV178" t="str">
            <v>--</v>
          </cell>
          <cell r="DW178" t="str">
            <v>--</v>
          </cell>
          <cell r="DX178" t="str">
            <v>--</v>
          </cell>
          <cell r="DY178" t="str">
            <v>--</v>
          </cell>
          <cell r="DZ178" t="str">
            <v>--</v>
          </cell>
          <cell r="EA178" t="str">
            <v>--</v>
          </cell>
          <cell r="EB178" t="str">
            <v>--</v>
          </cell>
          <cell r="EC178" t="str">
            <v>--</v>
          </cell>
          <cell r="ED178" t="str">
            <v>--</v>
          </cell>
          <cell r="EE178" t="str">
            <v>--</v>
          </cell>
          <cell r="EF178" t="str">
            <v>--</v>
          </cell>
          <cell r="EG178" t="str">
            <v>--</v>
          </cell>
        </row>
        <row r="179">
          <cell r="A179" t="str">
            <v>01490048Amer. Ind. or Alaska Nat.</v>
          </cell>
          <cell r="B179" t="str">
            <v>01490048N</v>
          </cell>
          <cell r="C179" t="str">
            <v>0149</v>
          </cell>
          <cell r="D179" t="str">
            <v>01490048</v>
          </cell>
          <cell r="E179" t="str">
            <v>Lawrence</v>
          </cell>
          <cell r="F179" t="str">
            <v>Oliver Partnership School</v>
          </cell>
          <cell r="G179" t="str">
            <v/>
          </cell>
          <cell r="H179" t="str">
            <v>Lawrence - Oliver Partnership School (01490048)</v>
          </cell>
          <cell r="I179" t="str">
            <v>Amer. Ind. or Alaska Nat.</v>
          </cell>
          <cell r="J179" t="str">
            <v>01490048Amer. Ind. or Alaska Nat.</v>
          </cell>
          <cell r="K179" t="str">
            <v>--</v>
          </cell>
          <cell r="L179" t="str">
            <v>--</v>
          </cell>
          <cell r="M179" t="str">
            <v>--</v>
          </cell>
          <cell r="N179" t="str">
            <v>--</v>
          </cell>
          <cell r="O179" t="str">
            <v>--</v>
          </cell>
          <cell r="P179" t="str">
            <v>--</v>
          </cell>
          <cell r="Q179" t="str">
            <v>--</v>
          </cell>
          <cell r="R179" t="str">
            <v>--</v>
          </cell>
          <cell r="S179" t="str">
            <v>--</v>
          </cell>
          <cell r="T179" t="str">
            <v>--</v>
          </cell>
          <cell r="U179" t="str">
            <v>--</v>
          </cell>
          <cell r="V179" t="str">
            <v>--</v>
          </cell>
          <cell r="W179" t="str">
            <v>--</v>
          </cell>
          <cell r="X179" t="str">
            <v>--</v>
          </cell>
          <cell r="Y179" t="str">
            <v>--</v>
          </cell>
          <cell r="Z179" t="str">
            <v>--</v>
          </cell>
          <cell r="AA179" t="str">
            <v>--</v>
          </cell>
          <cell r="AB179" t="str">
            <v>--</v>
          </cell>
          <cell r="AC179" t="str">
            <v>--</v>
          </cell>
          <cell r="AD179" t="str">
            <v>--</v>
          </cell>
          <cell r="AE179" t="str">
            <v>--</v>
          </cell>
          <cell r="AF179" t="str">
            <v>--</v>
          </cell>
          <cell r="AG179" t="str">
            <v>--</v>
          </cell>
          <cell r="AH179" t="str">
            <v>--</v>
          </cell>
          <cell r="AI179" t="str">
            <v>--</v>
          </cell>
          <cell r="AJ179" t="str">
            <v>--</v>
          </cell>
          <cell r="AK179" t="str">
            <v>--</v>
          </cell>
          <cell r="AL179" t="str">
            <v>--</v>
          </cell>
          <cell r="AM179" t="str">
            <v>--</v>
          </cell>
          <cell r="AN179" t="str">
            <v>--</v>
          </cell>
          <cell r="AO179" t="str">
            <v>--</v>
          </cell>
          <cell r="AP179" t="str">
            <v>--</v>
          </cell>
          <cell r="AQ179" t="str">
            <v>--</v>
          </cell>
          <cell r="AR179" t="str">
            <v>--</v>
          </cell>
          <cell r="AS179" t="str">
            <v>--</v>
          </cell>
          <cell r="AT179" t="str">
            <v>--</v>
          </cell>
          <cell r="AU179" t="str">
            <v>--</v>
          </cell>
          <cell r="AV179" t="str">
            <v>--</v>
          </cell>
          <cell r="AW179" t="str">
            <v>--</v>
          </cell>
          <cell r="AX179" t="str">
            <v>--</v>
          </cell>
          <cell r="AY179" t="str">
            <v>--</v>
          </cell>
          <cell r="AZ179" t="str">
            <v>--</v>
          </cell>
          <cell r="BA179" t="str">
            <v>--</v>
          </cell>
          <cell r="BB179" t="str">
            <v>--</v>
          </cell>
          <cell r="BC179" t="str">
            <v>--</v>
          </cell>
          <cell r="BD179" t="str">
            <v>--</v>
          </cell>
          <cell r="BE179" t="str">
            <v>--</v>
          </cell>
          <cell r="BF179" t="str">
            <v>--</v>
          </cell>
          <cell r="BG179" t="str">
            <v>--</v>
          </cell>
          <cell r="BH179" t="str">
            <v>--</v>
          </cell>
          <cell r="BI179" t="str">
            <v>--</v>
          </cell>
          <cell r="BJ179" t="str">
            <v>--</v>
          </cell>
          <cell r="BK179" t="str">
            <v>--</v>
          </cell>
          <cell r="BL179" t="str">
            <v>--</v>
          </cell>
          <cell r="BM179" t="str">
            <v>--</v>
          </cell>
          <cell r="BN179" t="str">
            <v>--</v>
          </cell>
          <cell r="BO179" t="str">
            <v>--</v>
          </cell>
          <cell r="BP179" t="str">
            <v>--</v>
          </cell>
          <cell r="BQ179" t="str">
            <v>--</v>
          </cell>
          <cell r="BR179" t="str">
            <v>--</v>
          </cell>
          <cell r="BS179" t="str">
            <v>--</v>
          </cell>
          <cell r="BT179" t="str">
            <v>--</v>
          </cell>
          <cell r="BU179" t="str">
            <v>--</v>
          </cell>
          <cell r="BV179" t="str">
            <v>--</v>
          </cell>
          <cell r="BW179" t="str">
            <v>--</v>
          </cell>
          <cell r="BX179" t="str">
            <v>--</v>
          </cell>
          <cell r="BY179" t="str">
            <v>--</v>
          </cell>
          <cell r="BZ179" t="str">
            <v>--</v>
          </cell>
          <cell r="CA179" t="str">
            <v>--</v>
          </cell>
          <cell r="CB179" t="str">
            <v>--</v>
          </cell>
          <cell r="CC179" t="str">
            <v>--</v>
          </cell>
          <cell r="CD179" t="str">
            <v>--</v>
          </cell>
          <cell r="CE179" t="str">
            <v>--</v>
          </cell>
          <cell r="CF179" t="str">
            <v>--</v>
          </cell>
          <cell r="CG179" t="str">
            <v>--</v>
          </cell>
          <cell r="CH179" t="str">
            <v>--</v>
          </cell>
          <cell r="CI179" t="str">
            <v>--</v>
          </cell>
          <cell r="CJ179" t="str">
            <v>--</v>
          </cell>
          <cell r="CK179" t="str">
            <v>--</v>
          </cell>
          <cell r="CL179" t="str">
            <v>--</v>
          </cell>
          <cell r="CM179" t="str">
            <v>--</v>
          </cell>
          <cell r="CN179" t="str">
            <v>--</v>
          </cell>
          <cell r="CO179" t="str">
            <v>--</v>
          </cell>
          <cell r="CP179" t="str">
            <v>--</v>
          </cell>
          <cell r="CQ179" t="str">
            <v>--</v>
          </cell>
          <cell r="CR179" t="str">
            <v>--</v>
          </cell>
          <cell r="CS179" t="str">
            <v>--</v>
          </cell>
          <cell r="CT179" t="str">
            <v>--</v>
          </cell>
          <cell r="CU179" t="str">
            <v>--</v>
          </cell>
          <cell r="CV179" t="str">
            <v>--</v>
          </cell>
          <cell r="CW179" t="str">
            <v>--</v>
          </cell>
          <cell r="CX179" t="str">
            <v>--</v>
          </cell>
          <cell r="CY179" t="str">
            <v>--</v>
          </cell>
          <cell r="CZ179" t="str">
            <v>--</v>
          </cell>
          <cell r="DA179" t="str">
            <v>--</v>
          </cell>
          <cell r="DB179" t="str">
            <v>--</v>
          </cell>
          <cell r="DC179" t="str">
            <v>--</v>
          </cell>
          <cell r="DD179" t="str">
            <v>--</v>
          </cell>
          <cell r="DE179" t="str">
            <v>--</v>
          </cell>
          <cell r="DF179" t="str">
            <v>--</v>
          </cell>
          <cell r="DG179" t="str">
            <v>--</v>
          </cell>
          <cell r="DH179" t="str">
            <v>--</v>
          </cell>
          <cell r="DI179" t="str">
            <v>--</v>
          </cell>
          <cell r="DJ179" t="str">
            <v>--</v>
          </cell>
          <cell r="DK179" t="str">
            <v>--</v>
          </cell>
          <cell r="DL179" t="str">
            <v>--</v>
          </cell>
          <cell r="DM179" t="str">
            <v>--</v>
          </cell>
          <cell r="DN179" t="str">
            <v>--</v>
          </cell>
          <cell r="DO179" t="str">
            <v>--</v>
          </cell>
          <cell r="DP179" t="str">
            <v>--</v>
          </cell>
          <cell r="DQ179" t="str">
            <v>--</v>
          </cell>
          <cell r="DR179" t="str">
            <v>--</v>
          </cell>
          <cell r="DS179" t="str">
            <v>--</v>
          </cell>
          <cell r="DT179" t="str">
            <v>--</v>
          </cell>
          <cell r="DU179" t="str">
            <v>--</v>
          </cell>
          <cell r="DV179" t="str">
            <v>--</v>
          </cell>
          <cell r="DW179" t="str">
            <v>--</v>
          </cell>
          <cell r="DX179" t="str">
            <v>--</v>
          </cell>
          <cell r="DY179" t="str">
            <v>--</v>
          </cell>
          <cell r="DZ179" t="str">
            <v>--</v>
          </cell>
          <cell r="EA179" t="str">
            <v>--</v>
          </cell>
          <cell r="EB179" t="str">
            <v>--</v>
          </cell>
          <cell r="EC179" t="str">
            <v>--</v>
          </cell>
          <cell r="ED179" t="str">
            <v>--</v>
          </cell>
          <cell r="EE179" t="str">
            <v>--</v>
          </cell>
          <cell r="EF179" t="str">
            <v>--</v>
          </cell>
          <cell r="EG179" t="str">
            <v>--</v>
          </cell>
        </row>
        <row r="180">
          <cell r="A180" t="str">
            <v>01490048Nat. Haw. or Pacif. Isl.</v>
          </cell>
          <cell r="B180" t="str">
            <v>01490048P</v>
          </cell>
          <cell r="C180" t="str">
            <v>0149</v>
          </cell>
          <cell r="D180" t="str">
            <v>01490048</v>
          </cell>
          <cell r="E180" t="str">
            <v>Lawrence</v>
          </cell>
          <cell r="F180" t="str">
            <v>Oliver Partnership School</v>
          </cell>
          <cell r="G180" t="str">
            <v/>
          </cell>
          <cell r="H180" t="str">
            <v>Lawrence - Oliver Partnership School (01490048)</v>
          </cell>
          <cell r="I180" t="str">
            <v>Nat. Haw. or Pacif. Isl.</v>
          </cell>
          <cell r="J180" t="str">
            <v>01490048Nat. Haw. or Pacif. Isl.</v>
          </cell>
          <cell r="K180" t="str">
            <v>--</v>
          </cell>
          <cell r="L180" t="str">
            <v>--</v>
          </cell>
          <cell r="M180" t="str">
            <v>--</v>
          </cell>
          <cell r="N180" t="str">
            <v>--</v>
          </cell>
          <cell r="O180" t="str">
            <v>--</v>
          </cell>
          <cell r="P180" t="str">
            <v>--</v>
          </cell>
          <cell r="Q180" t="str">
            <v>--</v>
          </cell>
          <cell r="R180" t="str">
            <v>--</v>
          </cell>
          <cell r="S180" t="str">
            <v>--</v>
          </cell>
          <cell r="T180" t="str">
            <v>--</v>
          </cell>
          <cell r="U180" t="str">
            <v>--</v>
          </cell>
          <cell r="V180" t="str">
            <v>--</v>
          </cell>
          <cell r="W180" t="str">
            <v>--</v>
          </cell>
          <cell r="X180" t="str">
            <v>--</v>
          </cell>
          <cell r="Y180" t="str">
            <v>--</v>
          </cell>
          <cell r="Z180" t="str">
            <v>--</v>
          </cell>
          <cell r="AA180" t="str">
            <v>--</v>
          </cell>
          <cell r="AB180" t="str">
            <v>--</v>
          </cell>
          <cell r="AC180" t="str">
            <v>--</v>
          </cell>
          <cell r="AD180" t="str">
            <v>--</v>
          </cell>
          <cell r="AE180" t="str">
            <v>--</v>
          </cell>
          <cell r="AF180" t="str">
            <v>--</v>
          </cell>
          <cell r="AG180" t="str">
            <v>--</v>
          </cell>
          <cell r="AH180" t="str">
            <v>--</v>
          </cell>
          <cell r="AI180" t="str">
            <v>--</v>
          </cell>
          <cell r="AJ180" t="str">
            <v>--</v>
          </cell>
          <cell r="AK180" t="str">
            <v>--</v>
          </cell>
          <cell r="AL180" t="str">
            <v>--</v>
          </cell>
          <cell r="AM180" t="str">
            <v>--</v>
          </cell>
          <cell r="AN180" t="str">
            <v>--</v>
          </cell>
          <cell r="AO180" t="str">
            <v>--</v>
          </cell>
          <cell r="AP180" t="str">
            <v>--</v>
          </cell>
          <cell r="AQ180" t="str">
            <v>--</v>
          </cell>
          <cell r="AR180" t="str">
            <v>--</v>
          </cell>
          <cell r="AS180" t="str">
            <v>--</v>
          </cell>
          <cell r="AT180" t="str">
            <v>--</v>
          </cell>
          <cell r="AU180" t="str">
            <v>--</v>
          </cell>
          <cell r="AV180" t="str">
            <v>--</v>
          </cell>
          <cell r="AW180" t="str">
            <v>--</v>
          </cell>
          <cell r="AX180" t="str">
            <v>--</v>
          </cell>
          <cell r="AY180" t="str">
            <v>--</v>
          </cell>
          <cell r="AZ180" t="str">
            <v>--</v>
          </cell>
          <cell r="BA180" t="str">
            <v>--</v>
          </cell>
          <cell r="BB180" t="str">
            <v>--</v>
          </cell>
          <cell r="BC180" t="str">
            <v>--</v>
          </cell>
          <cell r="BD180" t="str">
            <v>--</v>
          </cell>
          <cell r="BE180" t="str">
            <v>--</v>
          </cell>
          <cell r="BF180" t="str">
            <v>--</v>
          </cell>
          <cell r="BG180" t="str">
            <v>--</v>
          </cell>
          <cell r="BH180" t="str">
            <v>--</v>
          </cell>
          <cell r="BI180" t="str">
            <v>--</v>
          </cell>
          <cell r="BJ180" t="str">
            <v>--</v>
          </cell>
          <cell r="BK180" t="str">
            <v>--</v>
          </cell>
          <cell r="BL180" t="str">
            <v>--</v>
          </cell>
          <cell r="BM180" t="str">
            <v>--</v>
          </cell>
          <cell r="BN180" t="str">
            <v>--</v>
          </cell>
          <cell r="BO180" t="str">
            <v>--</v>
          </cell>
          <cell r="BP180" t="str">
            <v>--</v>
          </cell>
          <cell r="BQ180" t="str">
            <v>--</v>
          </cell>
          <cell r="BR180" t="str">
            <v>--</v>
          </cell>
          <cell r="BS180" t="str">
            <v>--</v>
          </cell>
          <cell r="BT180" t="str">
            <v>--</v>
          </cell>
          <cell r="BU180" t="str">
            <v>--</v>
          </cell>
          <cell r="BV180" t="str">
            <v>--</v>
          </cell>
          <cell r="BW180" t="str">
            <v>--</v>
          </cell>
          <cell r="BX180" t="str">
            <v>--</v>
          </cell>
          <cell r="BY180" t="str">
            <v>--</v>
          </cell>
          <cell r="BZ180" t="str">
            <v>--</v>
          </cell>
          <cell r="CA180" t="str">
            <v>--</v>
          </cell>
          <cell r="CB180" t="str">
            <v>--</v>
          </cell>
          <cell r="CC180" t="str">
            <v>--</v>
          </cell>
          <cell r="CD180" t="str">
            <v>--</v>
          </cell>
          <cell r="CE180" t="str">
            <v>--</v>
          </cell>
          <cell r="CF180" t="str">
            <v>--</v>
          </cell>
          <cell r="CG180" t="str">
            <v>--</v>
          </cell>
          <cell r="CH180" t="str">
            <v>--</v>
          </cell>
          <cell r="CI180" t="str">
            <v>--</v>
          </cell>
          <cell r="CJ180" t="str">
            <v>--</v>
          </cell>
          <cell r="CK180" t="str">
            <v>--</v>
          </cell>
          <cell r="CL180" t="str">
            <v>--</v>
          </cell>
          <cell r="CM180" t="str">
            <v>--</v>
          </cell>
          <cell r="CN180" t="str">
            <v>--</v>
          </cell>
          <cell r="CO180" t="str">
            <v>--</v>
          </cell>
          <cell r="CP180" t="str">
            <v>--</v>
          </cell>
          <cell r="CQ180" t="str">
            <v>--</v>
          </cell>
          <cell r="CR180" t="str">
            <v>--</v>
          </cell>
          <cell r="CS180" t="str">
            <v>--</v>
          </cell>
          <cell r="CT180" t="str">
            <v>--</v>
          </cell>
          <cell r="CU180" t="str">
            <v>--</v>
          </cell>
          <cell r="CV180" t="str">
            <v>--</v>
          </cell>
          <cell r="CW180" t="str">
            <v>--</v>
          </cell>
          <cell r="CX180" t="str">
            <v>--</v>
          </cell>
          <cell r="CY180" t="str">
            <v>--</v>
          </cell>
          <cell r="CZ180" t="str">
            <v>--</v>
          </cell>
          <cell r="DA180" t="str">
            <v>--</v>
          </cell>
          <cell r="DB180" t="str">
            <v>--</v>
          </cell>
          <cell r="DC180" t="str">
            <v>--</v>
          </cell>
          <cell r="DD180" t="str">
            <v>--</v>
          </cell>
          <cell r="DE180" t="str">
            <v>--</v>
          </cell>
          <cell r="DF180" t="str">
            <v>--</v>
          </cell>
          <cell r="DG180" t="str">
            <v>--</v>
          </cell>
          <cell r="DH180" t="str">
            <v>--</v>
          </cell>
          <cell r="DI180" t="str">
            <v>--</v>
          </cell>
          <cell r="DJ180" t="str">
            <v>--</v>
          </cell>
          <cell r="DK180" t="str">
            <v>--</v>
          </cell>
          <cell r="DL180" t="str">
            <v>--</v>
          </cell>
          <cell r="DM180" t="str">
            <v>--</v>
          </cell>
          <cell r="DN180" t="str">
            <v>--</v>
          </cell>
          <cell r="DO180" t="str">
            <v>--</v>
          </cell>
          <cell r="DP180" t="str">
            <v>--</v>
          </cell>
          <cell r="DQ180" t="str">
            <v>--</v>
          </cell>
          <cell r="DR180" t="str">
            <v>--</v>
          </cell>
          <cell r="DS180" t="str">
            <v>--</v>
          </cell>
          <cell r="DT180" t="str">
            <v>--</v>
          </cell>
          <cell r="DU180" t="str">
            <v>--</v>
          </cell>
          <cell r="DV180" t="str">
            <v>--</v>
          </cell>
          <cell r="DW180" t="str">
            <v>--</v>
          </cell>
          <cell r="DX180" t="str">
            <v>--</v>
          </cell>
          <cell r="DY180" t="str">
            <v>--</v>
          </cell>
          <cell r="DZ180" t="str">
            <v>--</v>
          </cell>
          <cell r="EA180" t="str">
            <v>--</v>
          </cell>
          <cell r="EB180" t="str">
            <v>--</v>
          </cell>
          <cell r="EC180" t="str">
            <v>--</v>
          </cell>
          <cell r="ED180" t="str">
            <v>--</v>
          </cell>
          <cell r="EE180" t="str">
            <v>--</v>
          </cell>
          <cell r="EF180" t="str">
            <v>--</v>
          </cell>
          <cell r="EG180" t="str">
            <v>--</v>
          </cell>
        </row>
        <row r="181">
          <cell r="A181" t="str">
            <v>01490048High needs</v>
          </cell>
          <cell r="B181" t="str">
            <v>01490048S</v>
          </cell>
          <cell r="C181" t="str">
            <v>0149</v>
          </cell>
          <cell r="D181" t="str">
            <v>01490048</v>
          </cell>
          <cell r="E181" t="str">
            <v>Lawrence</v>
          </cell>
          <cell r="F181" t="str">
            <v>Oliver Partnership School</v>
          </cell>
          <cell r="G181" t="str">
            <v/>
          </cell>
          <cell r="H181" t="str">
            <v>Lawrence - Oliver Partnership School (01490048)</v>
          </cell>
          <cell r="I181" t="str">
            <v>High needs</v>
          </cell>
          <cell r="J181" t="str">
            <v>01490048High needs</v>
          </cell>
          <cell r="K181" t="str">
            <v>--</v>
          </cell>
          <cell r="L181">
            <v>59.4</v>
          </cell>
          <cell r="M181">
            <v>62.8</v>
          </cell>
          <cell r="N181">
            <v>58.4</v>
          </cell>
          <cell r="O181">
            <v>66.2</v>
          </cell>
          <cell r="P181">
            <v>58.3</v>
          </cell>
          <cell r="Q181">
            <v>69.599999999999994</v>
          </cell>
          <cell r="R181">
            <v>72.900000000000006</v>
          </cell>
          <cell r="S181">
            <v>76.3</v>
          </cell>
          <cell r="T181">
            <v>79.7</v>
          </cell>
          <cell r="U181">
            <v>57.1</v>
          </cell>
          <cell r="V181">
            <v>60.7</v>
          </cell>
          <cell r="W181">
            <v>53.2</v>
          </cell>
          <cell r="X181">
            <v>64.3</v>
          </cell>
          <cell r="Y181">
            <v>58.3</v>
          </cell>
          <cell r="Z181">
            <v>67.8</v>
          </cell>
          <cell r="AA181">
            <v>71.400000000000006</v>
          </cell>
          <cell r="AB181">
            <v>75</v>
          </cell>
          <cell r="AC181">
            <v>78.599999999999994</v>
          </cell>
          <cell r="AD181">
            <v>40.6</v>
          </cell>
          <cell r="AE181">
            <v>45.6</v>
          </cell>
          <cell r="AF181">
            <v>51.5</v>
          </cell>
          <cell r="AG181">
            <v>50.5</v>
          </cell>
          <cell r="AH181">
            <v>42.7</v>
          </cell>
          <cell r="AI181">
            <v>55.5</v>
          </cell>
          <cell r="AJ181">
            <v>60.4</v>
          </cell>
          <cell r="AK181">
            <v>65.400000000000006</v>
          </cell>
          <cell r="AL181">
            <v>70.3</v>
          </cell>
          <cell r="AM181" t="str">
            <v>--</v>
          </cell>
          <cell r="AN181" t="str">
            <v>--</v>
          </cell>
          <cell r="AO181" t="str">
            <v>--</v>
          </cell>
          <cell r="AP181" t="str">
            <v>--</v>
          </cell>
          <cell r="AQ181" t="str">
            <v>--</v>
          </cell>
          <cell r="AR181" t="str">
            <v>--</v>
          </cell>
          <cell r="AS181" t="str">
            <v>--</v>
          </cell>
          <cell r="AT181" t="str">
            <v>--</v>
          </cell>
          <cell r="AU181" t="str">
            <v>--</v>
          </cell>
          <cell r="AV181" t="str">
            <v>--</v>
          </cell>
          <cell r="AW181" t="str">
            <v>--</v>
          </cell>
          <cell r="AX181" t="str">
            <v>--</v>
          </cell>
          <cell r="AY181" t="str">
            <v>--</v>
          </cell>
          <cell r="AZ181" t="str">
            <v>--</v>
          </cell>
          <cell r="BA181" t="str">
            <v>--</v>
          </cell>
          <cell r="BB181" t="str">
            <v>--</v>
          </cell>
          <cell r="BC181" t="str">
            <v>--</v>
          </cell>
          <cell r="BD181" t="str">
            <v>--</v>
          </cell>
          <cell r="BE181" t="str">
            <v>--</v>
          </cell>
          <cell r="BF181" t="str">
            <v>--</v>
          </cell>
          <cell r="BG181" t="str">
            <v>--</v>
          </cell>
          <cell r="BH181" t="str">
            <v>--</v>
          </cell>
          <cell r="BI181" t="str">
            <v>--</v>
          </cell>
          <cell r="BJ181" t="str">
            <v>--</v>
          </cell>
          <cell r="BK181" t="str">
            <v>--</v>
          </cell>
          <cell r="BL181" t="str">
            <v>--</v>
          </cell>
          <cell r="BM181" t="str">
            <v>--</v>
          </cell>
          <cell r="BN181">
            <v>27</v>
          </cell>
          <cell r="BO181">
            <v>37</v>
          </cell>
          <cell r="BP181">
            <v>39</v>
          </cell>
          <cell r="BQ181">
            <v>49</v>
          </cell>
          <cell r="BR181">
            <v>34</v>
          </cell>
          <cell r="BS181">
            <v>44</v>
          </cell>
          <cell r="BT181">
            <v>51</v>
          </cell>
          <cell r="BU181">
            <v>51</v>
          </cell>
          <cell r="BV181">
            <v>51</v>
          </cell>
          <cell r="BW181">
            <v>24.5</v>
          </cell>
          <cell r="BX181">
            <v>34.5</v>
          </cell>
          <cell r="BY181">
            <v>35</v>
          </cell>
          <cell r="BZ181">
            <v>45</v>
          </cell>
          <cell r="CA181">
            <v>26.5</v>
          </cell>
          <cell r="CB181">
            <v>36.5</v>
          </cell>
          <cell r="CC181">
            <v>46.5</v>
          </cell>
          <cell r="CD181">
            <v>51</v>
          </cell>
          <cell r="CE181">
            <v>51</v>
          </cell>
          <cell r="CF181">
            <v>29.1</v>
          </cell>
          <cell r="CG181">
            <v>26.2</v>
          </cell>
          <cell r="CH181">
            <v>31.3</v>
          </cell>
          <cell r="CI181">
            <v>28.2</v>
          </cell>
          <cell r="CJ181">
            <v>31.6</v>
          </cell>
          <cell r="CK181">
            <v>28.4</v>
          </cell>
          <cell r="CL181">
            <v>25.6</v>
          </cell>
          <cell r="CM181">
            <v>23</v>
          </cell>
          <cell r="CN181">
            <v>20.7</v>
          </cell>
          <cell r="CO181">
            <v>34.299999999999997</v>
          </cell>
          <cell r="CP181">
            <v>30.9</v>
          </cell>
          <cell r="CQ181">
            <v>40.5</v>
          </cell>
          <cell r="CR181">
            <v>36.5</v>
          </cell>
          <cell r="CS181">
            <v>33.9</v>
          </cell>
          <cell r="CT181">
            <v>30.5</v>
          </cell>
          <cell r="CU181">
            <v>27.5</v>
          </cell>
          <cell r="CV181">
            <v>24.7</v>
          </cell>
          <cell r="CW181">
            <v>22.2</v>
          </cell>
          <cell r="CX181">
            <v>53.1</v>
          </cell>
          <cell r="CY181">
            <v>47.8</v>
          </cell>
          <cell r="CZ181">
            <v>36.4</v>
          </cell>
          <cell r="DA181">
            <v>32.799999999999997</v>
          </cell>
          <cell r="DB181">
            <v>51.4</v>
          </cell>
          <cell r="DC181">
            <v>46.3</v>
          </cell>
          <cell r="DD181">
            <v>41.6</v>
          </cell>
          <cell r="DE181">
            <v>37.5</v>
          </cell>
          <cell r="DF181">
            <v>33.700000000000003</v>
          </cell>
          <cell r="DG181">
            <v>2</v>
          </cell>
          <cell r="DH181">
            <v>2.2000000000000002</v>
          </cell>
          <cell r="DI181">
            <v>1.9</v>
          </cell>
          <cell r="DJ181">
            <v>2.1</v>
          </cell>
          <cell r="DK181">
            <v>1.4</v>
          </cell>
          <cell r="DL181">
            <v>1.5</v>
          </cell>
          <cell r="DM181">
            <v>1.7</v>
          </cell>
          <cell r="DN181">
            <v>1.9</v>
          </cell>
          <cell r="DO181">
            <v>2</v>
          </cell>
          <cell r="DP181">
            <v>1.5</v>
          </cell>
          <cell r="DQ181">
            <v>1.7</v>
          </cell>
          <cell r="DR181">
            <v>3.8</v>
          </cell>
          <cell r="DS181">
            <v>4.2</v>
          </cell>
          <cell r="DT181">
            <v>5.9</v>
          </cell>
          <cell r="DU181">
            <v>6.5</v>
          </cell>
          <cell r="DV181">
            <v>7.1</v>
          </cell>
          <cell r="DW181">
            <v>7.9</v>
          </cell>
          <cell r="DX181">
            <v>8.6</v>
          </cell>
          <cell r="DY181">
            <v>0</v>
          </cell>
          <cell r="DZ181">
            <v>1</v>
          </cell>
          <cell r="EA181">
            <v>0</v>
          </cell>
          <cell r="EB181">
            <v>1</v>
          </cell>
          <cell r="EC181">
            <v>0</v>
          </cell>
          <cell r="ED181">
            <v>1</v>
          </cell>
          <cell r="EE181">
            <v>1.1000000000000001</v>
          </cell>
          <cell r="EF181">
            <v>1.2</v>
          </cell>
          <cell r="EG181">
            <v>1.3</v>
          </cell>
        </row>
        <row r="182">
          <cell r="A182" t="str">
            <v>01490048All students</v>
          </cell>
          <cell r="B182" t="str">
            <v>01490048T</v>
          </cell>
          <cell r="C182" t="str">
            <v>0149</v>
          </cell>
          <cell r="D182" t="str">
            <v>01490048</v>
          </cell>
          <cell r="E182" t="str">
            <v>Lawrence</v>
          </cell>
          <cell r="F182" t="str">
            <v>Oliver Partnership School</v>
          </cell>
          <cell r="G182" t="str">
            <v/>
          </cell>
          <cell r="H182" t="str">
            <v>Lawrence - Oliver Partnership School (01490048)</v>
          </cell>
          <cell r="I182" t="str">
            <v>All students</v>
          </cell>
          <cell r="J182" t="str">
            <v>01490048All students</v>
          </cell>
          <cell r="K182" t="str">
            <v>--</v>
          </cell>
          <cell r="L182">
            <v>60.2</v>
          </cell>
          <cell r="M182">
            <v>63.5</v>
          </cell>
          <cell r="N182">
            <v>58.8</v>
          </cell>
          <cell r="O182">
            <v>66.8</v>
          </cell>
          <cell r="P182">
            <v>59.2</v>
          </cell>
          <cell r="Q182">
            <v>70.2</v>
          </cell>
          <cell r="R182">
            <v>73.5</v>
          </cell>
          <cell r="S182">
            <v>76.8</v>
          </cell>
          <cell r="T182">
            <v>80.099999999999994</v>
          </cell>
          <cell r="U182">
            <v>57.9</v>
          </cell>
          <cell r="V182">
            <v>61.4</v>
          </cell>
          <cell r="W182">
            <v>53.9</v>
          </cell>
          <cell r="X182">
            <v>64.900000000000006</v>
          </cell>
          <cell r="Y182">
            <v>59.1</v>
          </cell>
          <cell r="Z182">
            <v>68.400000000000006</v>
          </cell>
          <cell r="AA182">
            <v>71.900000000000006</v>
          </cell>
          <cell r="AB182">
            <v>75.400000000000006</v>
          </cell>
          <cell r="AC182">
            <v>79</v>
          </cell>
          <cell r="AD182">
            <v>40.6</v>
          </cell>
          <cell r="AE182">
            <v>45.6</v>
          </cell>
          <cell r="AF182">
            <v>51.9</v>
          </cell>
          <cell r="AG182">
            <v>50.5</v>
          </cell>
          <cell r="AH182">
            <v>43.3</v>
          </cell>
          <cell r="AI182">
            <v>55.5</v>
          </cell>
          <cell r="AJ182">
            <v>60.4</v>
          </cell>
          <cell r="AK182">
            <v>65.400000000000006</v>
          </cell>
          <cell r="AL182">
            <v>70.3</v>
          </cell>
          <cell r="AM182" t="str">
            <v>--</v>
          </cell>
          <cell r="AN182" t="str">
            <v>--</v>
          </cell>
          <cell r="AO182" t="str">
            <v>--</v>
          </cell>
          <cell r="AP182" t="str">
            <v>--</v>
          </cell>
          <cell r="AQ182" t="str">
            <v>--</v>
          </cell>
          <cell r="AR182" t="str">
            <v>--</v>
          </cell>
          <cell r="AS182" t="str">
            <v>--</v>
          </cell>
          <cell r="AT182" t="str">
            <v>--</v>
          </cell>
          <cell r="AU182" t="str">
            <v>--</v>
          </cell>
          <cell r="AV182" t="str">
            <v>--</v>
          </cell>
          <cell r="AW182" t="str">
            <v>--</v>
          </cell>
          <cell r="AX182" t="str">
            <v>--</v>
          </cell>
          <cell r="AY182" t="str">
            <v>--</v>
          </cell>
          <cell r="AZ182" t="str">
            <v>--</v>
          </cell>
          <cell r="BA182" t="str">
            <v>--</v>
          </cell>
          <cell r="BB182" t="str">
            <v>--</v>
          </cell>
          <cell r="BC182" t="str">
            <v>--</v>
          </cell>
          <cell r="BD182" t="str">
            <v>--</v>
          </cell>
          <cell r="BE182" t="str">
            <v>--</v>
          </cell>
          <cell r="BF182" t="str">
            <v>--</v>
          </cell>
          <cell r="BG182" t="str">
            <v>--</v>
          </cell>
          <cell r="BH182" t="str">
            <v>--</v>
          </cell>
          <cell r="BI182" t="str">
            <v>--</v>
          </cell>
          <cell r="BJ182" t="str">
            <v>--</v>
          </cell>
          <cell r="BK182" t="str">
            <v>--</v>
          </cell>
          <cell r="BL182" t="str">
            <v>--</v>
          </cell>
          <cell r="BM182" t="str">
            <v>--</v>
          </cell>
          <cell r="BN182">
            <v>27</v>
          </cell>
          <cell r="BO182">
            <v>37</v>
          </cell>
          <cell r="BP182">
            <v>40</v>
          </cell>
          <cell r="BQ182">
            <v>50</v>
          </cell>
          <cell r="BR182">
            <v>34</v>
          </cell>
          <cell r="BS182">
            <v>44</v>
          </cell>
          <cell r="BT182">
            <v>51</v>
          </cell>
          <cell r="BU182">
            <v>51</v>
          </cell>
          <cell r="BV182">
            <v>51</v>
          </cell>
          <cell r="BW182">
            <v>25</v>
          </cell>
          <cell r="BX182">
            <v>35</v>
          </cell>
          <cell r="BY182">
            <v>35</v>
          </cell>
          <cell r="BZ182">
            <v>45</v>
          </cell>
          <cell r="CA182">
            <v>27</v>
          </cell>
          <cell r="CB182">
            <v>37</v>
          </cell>
          <cell r="CC182">
            <v>47</v>
          </cell>
          <cell r="CD182">
            <v>51</v>
          </cell>
          <cell r="CE182">
            <v>51</v>
          </cell>
          <cell r="CF182">
            <v>28.2</v>
          </cell>
          <cell r="CG182">
            <v>25.4</v>
          </cell>
          <cell r="CH182">
            <v>30.7</v>
          </cell>
          <cell r="CI182">
            <v>27.6</v>
          </cell>
          <cell r="CJ182">
            <v>30.7</v>
          </cell>
          <cell r="CK182">
            <v>27.6</v>
          </cell>
          <cell r="CL182">
            <v>24.9</v>
          </cell>
          <cell r="CM182">
            <v>22.4</v>
          </cell>
          <cell r="CN182">
            <v>20.100000000000001</v>
          </cell>
          <cell r="CO182">
            <v>33.299999999999997</v>
          </cell>
          <cell r="CP182">
            <v>30</v>
          </cell>
          <cell r="CQ182">
            <v>39.700000000000003</v>
          </cell>
          <cell r="CR182">
            <v>35.700000000000003</v>
          </cell>
          <cell r="CS182">
            <v>32.9</v>
          </cell>
          <cell r="CT182">
            <v>29.6</v>
          </cell>
          <cell r="CU182">
            <v>26.6</v>
          </cell>
          <cell r="CV182">
            <v>24</v>
          </cell>
          <cell r="CW182">
            <v>21.6</v>
          </cell>
          <cell r="CX182">
            <v>53.1</v>
          </cell>
          <cell r="CY182">
            <v>47.8</v>
          </cell>
          <cell r="CZ182">
            <v>35.799999999999997</v>
          </cell>
          <cell r="DA182">
            <v>32.200000000000003</v>
          </cell>
          <cell r="DB182">
            <v>50</v>
          </cell>
          <cell r="DC182">
            <v>45</v>
          </cell>
          <cell r="DD182">
            <v>40.5</v>
          </cell>
          <cell r="DE182">
            <v>36.5</v>
          </cell>
          <cell r="DF182">
            <v>32.799999999999997</v>
          </cell>
          <cell r="DG182">
            <v>1.9</v>
          </cell>
          <cell r="DH182">
            <v>2.1</v>
          </cell>
          <cell r="DI182">
            <v>1.9</v>
          </cell>
          <cell r="DJ182">
            <v>2.1</v>
          </cell>
          <cell r="DK182">
            <v>1.3</v>
          </cell>
          <cell r="DL182">
            <v>1.4</v>
          </cell>
          <cell r="DM182">
            <v>1.6</v>
          </cell>
          <cell r="DN182">
            <v>1.7</v>
          </cell>
          <cell r="DO182">
            <v>1.9</v>
          </cell>
          <cell r="DP182">
            <v>1.4</v>
          </cell>
          <cell r="DQ182">
            <v>1.5</v>
          </cell>
          <cell r="DR182">
            <v>3.7</v>
          </cell>
          <cell r="DS182">
            <v>4.0999999999999996</v>
          </cell>
          <cell r="DT182">
            <v>5.6</v>
          </cell>
          <cell r="DU182">
            <v>6.2</v>
          </cell>
          <cell r="DV182">
            <v>6.8</v>
          </cell>
          <cell r="DW182">
            <v>7.5</v>
          </cell>
          <cell r="DX182">
            <v>8.1999999999999993</v>
          </cell>
          <cell r="DY182">
            <v>0</v>
          </cell>
          <cell r="DZ182">
            <v>1</v>
          </cell>
          <cell r="EA182">
            <v>0</v>
          </cell>
          <cell r="EB182">
            <v>1</v>
          </cell>
          <cell r="EC182">
            <v>0</v>
          </cell>
          <cell r="ED182">
            <v>1</v>
          </cell>
          <cell r="EE182">
            <v>1.1000000000000001</v>
          </cell>
          <cell r="EF182">
            <v>1.2</v>
          </cell>
          <cell r="EG182">
            <v>1.3</v>
          </cell>
        </row>
        <row r="183">
          <cell r="A183" t="str">
            <v>01490090Asian</v>
          </cell>
          <cell r="B183" t="str">
            <v>01490090A</v>
          </cell>
          <cell r="C183" t="str">
            <v>0149</v>
          </cell>
          <cell r="D183" t="str">
            <v>01490090</v>
          </cell>
          <cell r="E183" t="str">
            <v>Lawrence</v>
          </cell>
          <cell r="F183" t="str">
            <v>UP Academy Leonard Middle School</v>
          </cell>
          <cell r="G183" t="str">
            <v>MS</v>
          </cell>
          <cell r="H183" t="str">
            <v>Lawrence - UP Academy Leonard Middle School (01490090)</v>
          </cell>
          <cell r="I183" t="str">
            <v>Asian</v>
          </cell>
          <cell r="J183" t="str">
            <v>01490090Asian</v>
          </cell>
          <cell r="K183" t="str">
            <v>--</v>
          </cell>
          <cell r="L183" t="str">
            <v>--</v>
          </cell>
          <cell r="M183" t="str">
            <v>--</v>
          </cell>
          <cell r="N183" t="str">
            <v>--</v>
          </cell>
          <cell r="O183" t="str">
            <v>--</v>
          </cell>
          <cell r="P183" t="str">
            <v>--</v>
          </cell>
          <cell r="Q183" t="str">
            <v>--</v>
          </cell>
          <cell r="R183" t="str">
            <v>--</v>
          </cell>
          <cell r="S183" t="str">
            <v>--</v>
          </cell>
          <cell r="T183" t="str">
            <v>--</v>
          </cell>
          <cell r="U183" t="str">
            <v>--</v>
          </cell>
          <cell r="V183" t="str">
            <v>--</v>
          </cell>
          <cell r="W183" t="str">
            <v>--</v>
          </cell>
          <cell r="X183" t="str">
            <v>--</v>
          </cell>
          <cell r="Y183" t="str">
            <v>--</v>
          </cell>
          <cell r="Z183" t="str">
            <v>--</v>
          </cell>
          <cell r="AA183" t="str">
            <v>--</v>
          </cell>
          <cell r="AB183" t="str">
            <v>--</v>
          </cell>
          <cell r="AC183" t="str">
            <v>--</v>
          </cell>
          <cell r="AD183" t="str">
            <v>--</v>
          </cell>
          <cell r="AE183" t="str">
            <v>--</v>
          </cell>
          <cell r="AF183" t="str">
            <v>--</v>
          </cell>
          <cell r="AG183" t="str">
            <v>--</v>
          </cell>
          <cell r="AH183" t="str">
            <v>--</v>
          </cell>
          <cell r="AI183" t="str">
            <v>--</v>
          </cell>
          <cell r="AJ183" t="str">
            <v>--</v>
          </cell>
          <cell r="AK183" t="str">
            <v>--</v>
          </cell>
          <cell r="AL183" t="str">
            <v>--</v>
          </cell>
          <cell r="AM183" t="str">
            <v>--</v>
          </cell>
          <cell r="AN183" t="str">
            <v>--</v>
          </cell>
          <cell r="AO183" t="str">
            <v>--</v>
          </cell>
          <cell r="AP183" t="str">
            <v>--</v>
          </cell>
          <cell r="AQ183" t="str">
            <v>--</v>
          </cell>
          <cell r="AR183" t="str">
            <v>--</v>
          </cell>
          <cell r="AS183" t="str">
            <v>--</v>
          </cell>
          <cell r="AT183" t="str">
            <v>--</v>
          </cell>
          <cell r="AU183" t="str">
            <v>--</v>
          </cell>
          <cell r="AV183" t="str">
            <v>--</v>
          </cell>
          <cell r="AW183" t="str">
            <v>--</v>
          </cell>
          <cell r="AX183" t="str">
            <v>--</v>
          </cell>
          <cell r="AY183" t="str">
            <v>--</v>
          </cell>
          <cell r="AZ183" t="str">
            <v>--</v>
          </cell>
          <cell r="BA183" t="str">
            <v>--</v>
          </cell>
          <cell r="BB183" t="str">
            <v>--</v>
          </cell>
          <cell r="BC183" t="str">
            <v>--</v>
          </cell>
          <cell r="BD183" t="str">
            <v>--</v>
          </cell>
          <cell r="BE183" t="str">
            <v>--</v>
          </cell>
          <cell r="BF183" t="str">
            <v>--</v>
          </cell>
          <cell r="BG183" t="str">
            <v>--</v>
          </cell>
          <cell r="BH183" t="str">
            <v>--</v>
          </cell>
          <cell r="BI183" t="str">
            <v>--</v>
          </cell>
          <cell r="BJ183" t="str">
            <v>--</v>
          </cell>
          <cell r="BK183" t="str">
            <v>--</v>
          </cell>
          <cell r="BL183" t="str">
            <v>--</v>
          </cell>
          <cell r="BM183" t="str">
            <v>--</v>
          </cell>
          <cell r="BN183" t="str">
            <v>--</v>
          </cell>
          <cell r="BO183" t="str">
            <v>--</v>
          </cell>
          <cell r="BP183" t="str">
            <v>--</v>
          </cell>
          <cell r="BQ183" t="str">
            <v>--</v>
          </cell>
          <cell r="BR183" t="str">
            <v>--</v>
          </cell>
          <cell r="BS183" t="str">
            <v>--</v>
          </cell>
          <cell r="BT183" t="str">
            <v>--</v>
          </cell>
          <cell r="BU183" t="str">
            <v>--</v>
          </cell>
          <cell r="BV183" t="str">
            <v>--</v>
          </cell>
          <cell r="BW183" t="str">
            <v>--</v>
          </cell>
          <cell r="BX183" t="str">
            <v>--</v>
          </cell>
          <cell r="BY183" t="str">
            <v>--</v>
          </cell>
          <cell r="BZ183" t="str">
            <v>--</v>
          </cell>
          <cell r="CA183" t="str">
            <v>--</v>
          </cell>
          <cell r="CB183" t="str">
            <v>--</v>
          </cell>
          <cell r="CC183" t="str">
            <v>--</v>
          </cell>
          <cell r="CD183" t="str">
            <v>--</v>
          </cell>
          <cell r="CE183" t="str">
            <v>--</v>
          </cell>
          <cell r="CF183" t="str">
            <v>--</v>
          </cell>
          <cell r="CG183" t="str">
            <v>--</v>
          </cell>
          <cell r="CH183" t="str">
            <v>--</v>
          </cell>
          <cell r="CI183" t="str">
            <v>--</v>
          </cell>
          <cell r="CJ183" t="str">
            <v>--</v>
          </cell>
          <cell r="CK183" t="str">
            <v>--</v>
          </cell>
          <cell r="CL183" t="str">
            <v>--</v>
          </cell>
          <cell r="CM183" t="str">
            <v>--</v>
          </cell>
          <cell r="CN183" t="str">
            <v>--</v>
          </cell>
          <cell r="CO183" t="str">
            <v>--</v>
          </cell>
          <cell r="CP183" t="str">
            <v>--</v>
          </cell>
          <cell r="CQ183" t="str">
            <v>--</v>
          </cell>
          <cell r="CR183" t="str">
            <v>--</v>
          </cell>
          <cell r="CS183" t="str">
            <v>--</v>
          </cell>
          <cell r="CT183" t="str">
            <v>--</v>
          </cell>
          <cell r="CU183" t="str">
            <v>--</v>
          </cell>
          <cell r="CV183" t="str">
            <v>--</v>
          </cell>
          <cell r="CW183" t="str">
            <v>--</v>
          </cell>
          <cell r="CX183" t="str">
            <v>--</v>
          </cell>
          <cell r="CY183" t="str">
            <v>--</v>
          </cell>
          <cell r="CZ183" t="str">
            <v>--</v>
          </cell>
          <cell r="DA183" t="str">
            <v>--</v>
          </cell>
          <cell r="DB183" t="str">
            <v>--</v>
          </cell>
          <cell r="DC183" t="str">
            <v>--</v>
          </cell>
          <cell r="DD183" t="str">
            <v>--</v>
          </cell>
          <cell r="DE183" t="str">
            <v>--</v>
          </cell>
          <cell r="DF183" t="str">
            <v>--</v>
          </cell>
          <cell r="DG183" t="str">
            <v>--</v>
          </cell>
          <cell r="DH183" t="str">
            <v>--</v>
          </cell>
          <cell r="DI183" t="str">
            <v>--</v>
          </cell>
          <cell r="DJ183" t="str">
            <v>--</v>
          </cell>
          <cell r="DK183" t="str">
            <v>--</v>
          </cell>
          <cell r="DL183" t="str">
            <v>--</v>
          </cell>
          <cell r="DM183" t="str">
            <v>--</v>
          </cell>
          <cell r="DN183" t="str">
            <v>--</v>
          </cell>
          <cell r="DO183" t="str">
            <v>--</v>
          </cell>
          <cell r="DP183" t="str">
            <v>--</v>
          </cell>
          <cell r="DQ183" t="str">
            <v>--</v>
          </cell>
          <cell r="DR183" t="str">
            <v>--</v>
          </cell>
          <cell r="DS183" t="str">
            <v>--</v>
          </cell>
          <cell r="DT183" t="str">
            <v>--</v>
          </cell>
          <cell r="DU183" t="str">
            <v>--</v>
          </cell>
          <cell r="DV183" t="str">
            <v>--</v>
          </cell>
          <cell r="DW183" t="str">
            <v>--</v>
          </cell>
          <cell r="DX183" t="str">
            <v>--</v>
          </cell>
          <cell r="DY183" t="str">
            <v>--</v>
          </cell>
          <cell r="DZ183" t="str">
            <v>--</v>
          </cell>
          <cell r="EA183" t="str">
            <v>--</v>
          </cell>
          <cell r="EB183" t="str">
            <v>--</v>
          </cell>
          <cell r="EC183" t="str">
            <v>--</v>
          </cell>
          <cell r="ED183" t="str">
            <v>--</v>
          </cell>
          <cell r="EE183" t="str">
            <v>--</v>
          </cell>
          <cell r="EF183" t="str">
            <v>--</v>
          </cell>
          <cell r="EG183" t="str">
            <v>--</v>
          </cell>
        </row>
        <row r="184">
          <cell r="A184" t="str">
            <v>01490090Afr. Amer/Black</v>
          </cell>
          <cell r="B184" t="str">
            <v>01490090B</v>
          </cell>
          <cell r="C184" t="str">
            <v>0149</v>
          </cell>
          <cell r="D184" t="str">
            <v>01490090</v>
          </cell>
          <cell r="E184" t="str">
            <v>Lawrence</v>
          </cell>
          <cell r="F184" t="str">
            <v>UP Academy Leonard Middle School</v>
          </cell>
          <cell r="G184" t="str">
            <v>MS</v>
          </cell>
          <cell r="H184" t="str">
            <v>Lawrence - UP Academy Leonard Middle School (01490090)</v>
          </cell>
          <cell r="I184" t="str">
            <v>Afr. Amer/Black</v>
          </cell>
          <cell r="J184" t="str">
            <v>01490090Afr. Amer/Black</v>
          </cell>
          <cell r="K184" t="str">
            <v>--</v>
          </cell>
          <cell r="L184" t="str">
            <v>--</v>
          </cell>
          <cell r="M184" t="str">
            <v>--</v>
          </cell>
          <cell r="N184" t="str">
            <v>--</v>
          </cell>
          <cell r="O184" t="str">
            <v>--</v>
          </cell>
          <cell r="P184" t="str">
            <v>--</v>
          </cell>
          <cell r="Q184" t="str">
            <v>--</v>
          </cell>
          <cell r="R184" t="str">
            <v>--</v>
          </cell>
          <cell r="S184" t="str">
            <v>--</v>
          </cell>
          <cell r="T184" t="str">
            <v>--</v>
          </cell>
          <cell r="U184" t="str">
            <v>--</v>
          </cell>
          <cell r="V184" t="str">
            <v>--</v>
          </cell>
          <cell r="W184" t="str">
            <v>--</v>
          </cell>
          <cell r="X184" t="str">
            <v>--</v>
          </cell>
          <cell r="Y184" t="str">
            <v>--</v>
          </cell>
          <cell r="Z184" t="str">
            <v>--</v>
          </cell>
          <cell r="AA184" t="str">
            <v>--</v>
          </cell>
          <cell r="AB184" t="str">
            <v>--</v>
          </cell>
          <cell r="AC184" t="str">
            <v>--</v>
          </cell>
          <cell r="AD184" t="str">
            <v>--</v>
          </cell>
          <cell r="AE184" t="str">
            <v>--</v>
          </cell>
          <cell r="AF184" t="str">
            <v>--</v>
          </cell>
          <cell r="AG184" t="str">
            <v>--</v>
          </cell>
          <cell r="AH184" t="str">
            <v>--</v>
          </cell>
          <cell r="AI184" t="str">
            <v>--</v>
          </cell>
          <cell r="AJ184" t="str">
            <v>--</v>
          </cell>
          <cell r="AK184" t="str">
            <v>--</v>
          </cell>
          <cell r="AL184" t="str">
            <v>--</v>
          </cell>
          <cell r="AM184" t="str">
            <v>--</v>
          </cell>
          <cell r="AN184" t="str">
            <v>--</v>
          </cell>
          <cell r="AO184" t="str">
            <v>--</v>
          </cell>
          <cell r="AP184" t="str">
            <v>--</v>
          </cell>
          <cell r="AQ184" t="str">
            <v>--</v>
          </cell>
          <cell r="AR184" t="str">
            <v>--</v>
          </cell>
          <cell r="AS184" t="str">
            <v>--</v>
          </cell>
          <cell r="AT184" t="str">
            <v>--</v>
          </cell>
          <cell r="AU184" t="str">
            <v>--</v>
          </cell>
          <cell r="AV184" t="str">
            <v>--</v>
          </cell>
          <cell r="AW184" t="str">
            <v>--</v>
          </cell>
          <cell r="AX184" t="str">
            <v>--</v>
          </cell>
          <cell r="AY184" t="str">
            <v>--</v>
          </cell>
          <cell r="AZ184" t="str">
            <v>--</v>
          </cell>
          <cell r="BA184" t="str">
            <v>--</v>
          </cell>
          <cell r="BB184" t="str">
            <v>--</v>
          </cell>
          <cell r="BC184" t="str">
            <v>--</v>
          </cell>
          <cell r="BD184" t="str">
            <v>--</v>
          </cell>
          <cell r="BE184" t="str">
            <v>--</v>
          </cell>
          <cell r="BF184" t="str">
            <v>--</v>
          </cell>
          <cell r="BG184" t="str">
            <v>--</v>
          </cell>
          <cell r="BH184" t="str">
            <v>--</v>
          </cell>
          <cell r="BI184" t="str">
            <v>--</v>
          </cell>
          <cell r="BJ184" t="str">
            <v>--</v>
          </cell>
          <cell r="BK184" t="str">
            <v>--</v>
          </cell>
          <cell r="BL184" t="str">
            <v>--</v>
          </cell>
          <cell r="BM184" t="str">
            <v>--</v>
          </cell>
          <cell r="BN184" t="str">
            <v>--</v>
          </cell>
          <cell r="BO184" t="str">
            <v>--</v>
          </cell>
          <cell r="BP184" t="str">
            <v>--</v>
          </cell>
          <cell r="BQ184" t="str">
            <v>--</v>
          </cell>
          <cell r="BR184" t="str">
            <v>--</v>
          </cell>
          <cell r="BS184" t="str">
            <v>--</v>
          </cell>
          <cell r="BT184" t="str">
            <v>--</v>
          </cell>
          <cell r="BU184" t="str">
            <v>--</v>
          </cell>
          <cell r="BV184" t="str">
            <v>--</v>
          </cell>
          <cell r="BW184" t="str">
            <v>--</v>
          </cell>
          <cell r="BX184" t="str">
            <v>--</v>
          </cell>
          <cell r="BY184" t="str">
            <v>--</v>
          </cell>
          <cell r="BZ184" t="str">
            <v>--</v>
          </cell>
          <cell r="CA184" t="str">
            <v>--</v>
          </cell>
          <cell r="CB184" t="str">
            <v>--</v>
          </cell>
          <cell r="CC184" t="str">
            <v>--</v>
          </cell>
          <cell r="CD184" t="str">
            <v>--</v>
          </cell>
          <cell r="CE184" t="str">
            <v>--</v>
          </cell>
          <cell r="CF184" t="str">
            <v>--</v>
          </cell>
          <cell r="CG184" t="str">
            <v>--</v>
          </cell>
          <cell r="CH184" t="str">
            <v>--</v>
          </cell>
          <cell r="CI184" t="str">
            <v>--</v>
          </cell>
          <cell r="CJ184" t="str">
            <v>--</v>
          </cell>
          <cell r="CK184" t="str">
            <v>--</v>
          </cell>
          <cell r="CL184" t="str">
            <v>--</v>
          </cell>
          <cell r="CM184" t="str">
            <v>--</v>
          </cell>
          <cell r="CN184" t="str">
            <v>--</v>
          </cell>
          <cell r="CO184" t="str">
            <v>--</v>
          </cell>
          <cell r="CP184" t="str">
            <v>--</v>
          </cell>
          <cell r="CQ184" t="str">
            <v>--</v>
          </cell>
          <cell r="CR184" t="str">
            <v>--</v>
          </cell>
          <cell r="CS184" t="str">
            <v>--</v>
          </cell>
          <cell r="CT184" t="str">
            <v>--</v>
          </cell>
          <cell r="CU184" t="str">
            <v>--</v>
          </cell>
          <cell r="CV184" t="str">
            <v>--</v>
          </cell>
          <cell r="CW184" t="str">
            <v>--</v>
          </cell>
          <cell r="CX184" t="str">
            <v>--</v>
          </cell>
          <cell r="CY184" t="str">
            <v>--</v>
          </cell>
          <cell r="CZ184" t="str">
            <v>--</v>
          </cell>
          <cell r="DA184" t="str">
            <v>--</v>
          </cell>
          <cell r="DB184" t="str">
            <v>--</v>
          </cell>
          <cell r="DC184" t="str">
            <v>--</v>
          </cell>
          <cell r="DD184" t="str">
            <v>--</v>
          </cell>
          <cell r="DE184" t="str">
            <v>--</v>
          </cell>
          <cell r="DF184" t="str">
            <v>--</v>
          </cell>
          <cell r="DG184" t="str">
            <v>--</v>
          </cell>
          <cell r="DH184" t="str">
            <v>--</v>
          </cell>
          <cell r="DI184" t="str">
            <v>--</v>
          </cell>
          <cell r="DJ184" t="str">
            <v>--</v>
          </cell>
          <cell r="DK184" t="str">
            <v>--</v>
          </cell>
          <cell r="DL184" t="str">
            <v>--</v>
          </cell>
          <cell r="DM184" t="str">
            <v>--</v>
          </cell>
          <cell r="DN184" t="str">
            <v>--</v>
          </cell>
          <cell r="DO184" t="str">
            <v>--</v>
          </cell>
          <cell r="DP184" t="str">
            <v>--</v>
          </cell>
          <cell r="DQ184" t="str">
            <v>--</v>
          </cell>
          <cell r="DR184" t="str">
            <v>--</v>
          </cell>
          <cell r="DS184" t="str">
            <v>--</v>
          </cell>
          <cell r="DT184" t="str">
            <v>--</v>
          </cell>
          <cell r="DU184" t="str">
            <v>--</v>
          </cell>
          <cell r="DV184" t="str">
            <v>--</v>
          </cell>
          <cell r="DW184" t="str">
            <v>--</v>
          </cell>
          <cell r="DX184" t="str">
            <v>--</v>
          </cell>
          <cell r="DY184" t="str">
            <v>--</v>
          </cell>
          <cell r="DZ184" t="str">
            <v>--</v>
          </cell>
          <cell r="EA184" t="str">
            <v>--</v>
          </cell>
          <cell r="EB184" t="str">
            <v>--</v>
          </cell>
          <cell r="EC184" t="str">
            <v>--</v>
          </cell>
          <cell r="ED184" t="str">
            <v>--</v>
          </cell>
          <cell r="EE184" t="str">
            <v>--</v>
          </cell>
          <cell r="EF184" t="str">
            <v>--</v>
          </cell>
          <cell r="EG184" t="str">
            <v>--</v>
          </cell>
        </row>
        <row r="185">
          <cell r="A185" t="str">
            <v>01490090White</v>
          </cell>
          <cell r="B185" t="str">
            <v>01490090C</v>
          </cell>
          <cell r="C185" t="str">
            <v>0149</v>
          </cell>
          <cell r="D185" t="str">
            <v>01490090</v>
          </cell>
          <cell r="E185" t="str">
            <v>Lawrence</v>
          </cell>
          <cell r="F185" t="str">
            <v>UP Academy Leonard Middle School</v>
          </cell>
          <cell r="G185" t="str">
            <v>MS</v>
          </cell>
          <cell r="H185" t="str">
            <v>Lawrence - UP Academy Leonard Middle School (01490090)</v>
          </cell>
          <cell r="I185" t="str">
            <v>White</v>
          </cell>
          <cell r="J185" t="str">
            <v>01490090White</v>
          </cell>
          <cell r="K185" t="str">
            <v>--</v>
          </cell>
          <cell r="L185" t="str">
            <v>--</v>
          </cell>
          <cell r="M185" t="str">
            <v>--</v>
          </cell>
          <cell r="N185" t="str">
            <v>--</v>
          </cell>
          <cell r="O185" t="str">
            <v>--</v>
          </cell>
          <cell r="P185" t="str">
            <v>--</v>
          </cell>
          <cell r="Q185" t="str">
            <v>--</v>
          </cell>
          <cell r="R185" t="str">
            <v>--</v>
          </cell>
          <cell r="S185" t="str">
            <v>--</v>
          </cell>
          <cell r="T185" t="str">
            <v>--</v>
          </cell>
          <cell r="U185" t="str">
            <v>--</v>
          </cell>
          <cell r="V185" t="str">
            <v>--</v>
          </cell>
          <cell r="W185" t="str">
            <v>--</v>
          </cell>
          <cell r="X185" t="str">
            <v>--</v>
          </cell>
          <cell r="Y185" t="str">
            <v>--</v>
          </cell>
          <cell r="Z185" t="str">
            <v>--</v>
          </cell>
          <cell r="AA185" t="str">
            <v>--</v>
          </cell>
          <cell r="AB185" t="str">
            <v>--</v>
          </cell>
          <cell r="AC185" t="str">
            <v>--</v>
          </cell>
          <cell r="AD185" t="str">
            <v>--</v>
          </cell>
          <cell r="AE185" t="str">
            <v>--</v>
          </cell>
          <cell r="AF185" t="str">
            <v>--</v>
          </cell>
          <cell r="AG185" t="str">
            <v>--</v>
          </cell>
          <cell r="AH185" t="str">
            <v>--</v>
          </cell>
          <cell r="AI185" t="str">
            <v>--</v>
          </cell>
          <cell r="AJ185" t="str">
            <v>--</v>
          </cell>
          <cell r="AK185" t="str">
            <v>--</v>
          </cell>
          <cell r="AL185" t="str">
            <v>--</v>
          </cell>
          <cell r="AM185" t="str">
            <v>--</v>
          </cell>
          <cell r="AN185" t="str">
            <v>--</v>
          </cell>
          <cell r="AO185" t="str">
            <v>--</v>
          </cell>
          <cell r="AP185" t="str">
            <v>--</v>
          </cell>
          <cell r="AQ185" t="str">
            <v>--</v>
          </cell>
          <cell r="AR185" t="str">
            <v>--</v>
          </cell>
          <cell r="AS185" t="str">
            <v>--</v>
          </cell>
          <cell r="AT185" t="str">
            <v>--</v>
          </cell>
          <cell r="AU185" t="str">
            <v>--</v>
          </cell>
          <cell r="AV185" t="str">
            <v>--</v>
          </cell>
          <cell r="AW185" t="str">
            <v>--</v>
          </cell>
          <cell r="AX185" t="str">
            <v>--</v>
          </cell>
          <cell r="AY185" t="str">
            <v>--</v>
          </cell>
          <cell r="AZ185" t="str">
            <v>--</v>
          </cell>
          <cell r="BA185" t="str">
            <v>--</v>
          </cell>
          <cell r="BB185" t="str">
            <v>--</v>
          </cell>
          <cell r="BC185" t="str">
            <v>--</v>
          </cell>
          <cell r="BD185" t="str">
            <v>--</v>
          </cell>
          <cell r="BE185" t="str">
            <v>--</v>
          </cell>
          <cell r="BF185" t="str">
            <v>--</v>
          </cell>
          <cell r="BG185" t="str">
            <v>--</v>
          </cell>
          <cell r="BH185" t="str">
            <v>--</v>
          </cell>
          <cell r="BI185" t="str">
            <v>--</v>
          </cell>
          <cell r="BJ185" t="str">
            <v>--</v>
          </cell>
          <cell r="BK185" t="str">
            <v>--</v>
          </cell>
          <cell r="BL185" t="str">
            <v>--</v>
          </cell>
          <cell r="BM185" t="str">
            <v>--</v>
          </cell>
          <cell r="BN185" t="str">
            <v>--</v>
          </cell>
          <cell r="BO185" t="str">
            <v>--</v>
          </cell>
          <cell r="BP185" t="str">
            <v>--</v>
          </cell>
          <cell r="BQ185" t="str">
            <v>--</v>
          </cell>
          <cell r="BR185" t="str">
            <v>--</v>
          </cell>
          <cell r="BS185" t="str">
            <v>--</v>
          </cell>
          <cell r="BT185" t="str">
            <v>--</v>
          </cell>
          <cell r="BU185" t="str">
            <v>--</v>
          </cell>
          <cell r="BV185" t="str">
            <v>--</v>
          </cell>
          <cell r="BW185" t="str">
            <v>--</v>
          </cell>
          <cell r="BX185" t="str">
            <v>--</v>
          </cell>
          <cell r="BY185" t="str">
            <v>--</v>
          </cell>
          <cell r="BZ185" t="str">
            <v>--</v>
          </cell>
          <cell r="CA185" t="str">
            <v>--</v>
          </cell>
          <cell r="CB185" t="str">
            <v>--</v>
          </cell>
          <cell r="CC185" t="str">
            <v>--</v>
          </cell>
          <cell r="CD185" t="str">
            <v>--</v>
          </cell>
          <cell r="CE185" t="str">
            <v>--</v>
          </cell>
          <cell r="CF185" t="str">
            <v>--</v>
          </cell>
          <cell r="CG185" t="str">
            <v>--</v>
          </cell>
          <cell r="CH185" t="str">
            <v>--</v>
          </cell>
          <cell r="CI185" t="str">
            <v>--</v>
          </cell>
          <cell r="CJ185" t="str">
            <v>--</v>
          </cell>
          <cell r="CK185" t="str">
            <v>--</v>
          </cell>
          <cell r="CL185" t="str">
            <v>--</v>
          </cell>
          <cell r="CM185" t="str">
            <v>--</v>
          </cell>
          <cell r="CN185" t="str">
            <v>--</v>
          </cell>
          <cell r="CO185" t="str">
            <v>--</v>
          </cell>
          <cell r="CP185" t="str">
            <v>--</v>
          </cell>
          <cell r="CQ185" t="str">
            <v>--</v>
          </cell>
          <cell r="CR185" t="str">
            <v>--</v>
          </cell>
          <cell r="CS185" t="str">
            <v>--</v>
          </cell>
          <cell r="CT185" t="str">
            <v>--</v>
          </cell>
          <cell r="CU185" t="str">
            <v>--</v>
          </cell>
          <cell r="CV185" t="str">
            <v>--</v>
          </cell>
          <cell r="CW185" t="str">
            <v>--</v>
          </cell>
          <cell r="CX185" t="str">
            <v>--</v>
          </cell>
          <cell r="CY185" t="str">
            <v>--</v>
          </cell>
          <cell r="CZ185" t="str">
            <v>--</v>
          </cell>
          <cell r="DA185" t="str">
            <v>--</v>
          </cell>
          <cell r="DB185" t="str">
            <v>--</v>
          </cell>
          <cell r="DC185" t="str">
            <v>--</v>
          </cell>
          <cell r="DD185" t="str">
            <v>--</v>
          </cell>
          <cell r="DE185" t="str">
            <v>--</v>
          </cell>
          <cell r="DF185" t="str">
            <v>--</v>
          </cell>
          <cell r="DG185" t="str">
            <v>--</v>
          </cell>
          <cell r="DH185" t="str">
            <v>--</v>
          </cell>
          <cell r="DI185" t="str">
            <v>--</v>
          </cell>
          <cell r="DJ185" t="str">
            <v>--</v>
          </cell>
          <cell r="DK185" t="str">
            <v>--</v>
          </cell>
          <cell r="DL185" t="str">
            <v>--</v>
          </cell>
          <cell r="DM185" t="str">
            <v>--</v>
          </cell>
          <cell r="DN185" t="str">
            <v>--</v>
          </cell>
          <cell r="DO185" t="str">
            <v>--</v>
          </cell>
          <cell r="DP185" t="str">
            <v>--</v>
          </cell>
          <cell r="DQ185" t="str">
            <v>--</v>
          </cell>
          <cell r="DR185" t="str">
            <v>--</v>
          </cell>
          <cell r="DS185" t="str">
            <v>--</v>
          </cell>
          <cell r="DT185" t="str">
            <v>--</v>
          </cell>
          <cell r="DU185" t="str">
            <v>--</v>
          </cell>
          <cell r="DV185" t="str">
            <v>--</v>
          </cell>
          <cell r="DW185" t="str">
            <v>--</v>
          </cell>
          <cell r="DX185" t="str">
            <v>--</v>
          </cell>
          <cell r="DY185" t="str">
            <v>--</v>
          </cell>
          <cell r="DZ185" t="str">
            <v>--</v>
          </cell>
          <cell r="EA185" t="str">
            <v>--</v>
          </cell>
          <cell r="EB185" t="str">
            <v>--</v>
          </cell>
          <cell r="EC185" t="str">
            <v>--</v>
          </cell>
          <cell r="ED185" t="str">
            <v>--</v>
          </cell>
          <cell r="EE185" t="str">
            <v>--</v>
          </cell>
          <cell r="EF185" t="str">
            <v>--</v>
          </cell>
          <cell r="EG185" t="str">
            <v>--</v>
          </cell>
        </row>
        <row r="186">
          <cell r="A186" t="str">
            <v>01490090Students w/disabilities</v>
          </cell>
          <cell r="B186" t="str">
            <v>01490090D</v>
          </cell>
          <cell r="C186" t="str">
            <v>0149</v>
          </cell>
          <cell r="D186" t="str">
            <v>01490090</v>
          </cell>
          <cell r="E186" t="str">
            <v>Lawrence</v>
          </cell>
          <cell r="F186" t="str">
            <v>UP Academy Leonard Middle School</v>
          </cell>
          <cell r="G186" t="str">
            <v>MS</v>
          </cell>
          <cell r="H186" t="str">
            <v>Lawrence - UP Academy Leonard Middle School (01490090)</v>
          </cell>
          <cell r="I186" t="str">
            <v>Students w/disabilities</v>
          </cell>
          <cell r="J186" t="str">
            <v>01490090Students w/disabilities</v>
          </cell>
          <cell r="K186" t="str">
            <v>--</v>
          </cell>
          <cell r="L186">
            <v>46.6</v>
          </cell>
          <cell r="M186">
            <v>51.1</v>
          </cell>
          <cell r="N186">
            <v>46.5</v>
          </cell>
          <cell r="O186">
            <v>55.5</v>
          </cell>
          <cell r="P186">
            <v>46.8</v>
          </cell>
          <cell r="Q186">
            <v>60</v>
          </cell>
          <cell r="R186">
            <v>64.400000000000006</v>
          </cell>
          <cell r="S186">
            <v>68.900000000000006</v>
          </cell>
          <cell r="T186">
            <v>73.3</v>
          </cell>
          <cell r="U186">
            <v>23.7</v>
          </cell>
          <cell r="V186">
            <v>30.1</v>
          </cell>
          <cell r="W186">
            <v>26.4</v>
          </cell>
          <cell r="X186">
            <v>36.4</v>
          </cell>
          <cell r="Y186">
            <v>32.1</v>
          </cell>
          <cell r="Z186">
            <v>42.8</v>
          </cell>
          <cell r="AA186">
            <v>49.1</v>
          </cell>
          <cell r="AB186">
            <v>55.5</v>
          </cell>
          <cell r="AC186">
            <v>61.9</v>
          </cell>
          <cell r="AD186">
            <v>25</v>
          </cell>
          <cell r="AE186">
            <v>31.3</v>
          </cell>
          <cell r="AF186">
            <v>32.9</v>
          </cell>
          <cell r="AG186">
            <v>37.5</v>
          </cell>
          <cell r="AH186">
            <v>33</v>
          </cell>
          <cell r="AI186">
            <v>43.8</v>
          </cell>
          <cell r="AJ186">
            <v>50</v>
          </cell>
          <cell r="AK186">
            <v>56.3</v>
          </cell>
          <cell r="AL186">
            <v>62.5</v>
          </cell>
          <cell r="AM186" t="str">
            <v>--</v>
          </cell>
          <cell r="AN186" t="str">
            <v>--</v>
          </cell>
          <cell r="AO186" t="str">
            <v>--</v>
          </cell>
          <cell r="AP186" t="str">
            <v>--</v>
          </cell>
          <cell r="AQ186" t="str">
            <v>--</v>
          </cell>
          <cell r="AR186" t="str">
            <v>--</v>
          </cell>
          <cell r="AS186" t="str">
            <v>--</v>
          </cell>
          <cell r="AT186" t="str">
            <v>--</v>
          </cell>
          <cell r="AU186" t="str">
            <v>--</v>
          </cell>
          <cell r="AV186" t="str">
            <v>--</v>
          </cell>
          <cell r="AW186" t="str">
            <v>--</v>
          </cell>
          <cell r="AX186" t="str">
            <v>--</v>
          </cell>
          <cell r="AY186" t="str">
            <v>--</v>
          </cell>
          <cell r="AZ186" t="str">
            <v>--</v>
          </cell>
          <cell r="BA186" t="str">
            <v>--</v>
          </cell>
          <cell r="BB186" t="str">
            <v>--</v>
          </cell>
          <cell r="BC186" t="str">
            <v>--</v>
          </cell>
          <cell r="BD186" t="str">
            <v>--</v>
          </cell>
          <cell r="BE186" t="str">
            <v>--</v>
          </cell>
          <cell r="BF186" t="str">
            <v>--</v>
          </cell>
          <cell r="BG186" t="str">
            <v>--</v>
          </cell>
          <cell r="BH186" t="str">
            <v>--</v>
          </cell>
          <cell r="BI186" t="str">
            <v>--</v>
          </cell>
          <cell r="BJ186" t="str">
            <v>--</v>
          </cell>
          <cell r="BK186" t="str">
            <v>--</v>
          </cell>
          <cell r="BL186" t="str">
            <v>--</v>
          </cell>
          <cell r="BM186" t="str">
            <v>--</v>
          </cell>
          <cell r="BN186">
            <v>29</v>
          </cell>
          <cell r="BO186">
            <v>39</v>
          </cell>
          <cell r="BP186">
            <v>31</v>
          </cell>
          <cell r="BQ186">
            <v>41</v>
          </cell>
          <cell r="BR186">
            <v>29.5</v>
          </cell>
          <cell r="BS186">
            <v>39.5</v>
          </cell>
          <cell r="BT186">
            <v>49.5</v>
          </cell>
          <cell r="BU186">
            <v>51</v>
          </cell>
          <cell r="BV186">
            <v>51</v>
          </cell>
          <cell r="BW186">
            <v>26</v>
          </cell>
          <cell r="BX186">
            <v>36</v>
          </cell>
          <cell r="BY186">
            <v>29.5</v>
          </cell>
          <cell r="BZ186">
            <v>39.5</v>
          </cell>
          <cell r="CA186">
            <v>41.5</v>
          </cell>
          <cell r="CB186">
            <v>51</v>
          </cell>
          <cell r="CC186">
            <v>51</v>
          </cell>
          <cell r="CD186">
            <v>51</v>
          </cell>
          <cell r="CE186">
            <v>51</v>
          </cell>
          <cell r="CF186">
            <v>50.8</v>
          </cell>
          <cell r="CG186">
            <v>45.7</v>
          </cell>
          <cell r="CH186">
            <v>49.1</v>
          </cell>
          <cell r="CI186">
            <v>44.2</v>
          </cell>
          <cell r="CJ186">
            <v>51.6</v>
          </cell>
          <cell r="CK186">
            <v>46.4</v>
          </cell>
          <cell r="CL186">
            <v>41.8</v>
          </cell>
          <cell r="CM186">
            <v>37.6</v>
          </cell>
          <cell r="CN186">
            <v>33.9</v>
          </cell>
          <cell r="CO186">
            <v>89.7</v>
          </cell>
          <cell r="CP186">
            <v>80.7</v>
          </cell>
          <cell r="CQ186">
            <v>87.3</v>
          </cell>
          <cell r="CR186">
            <v>78.599999999999994</v>
          </cell>
          <cell r="CS186">
            <v>73</v>
          </cell>
          <cell r="CT186">
            <v>65.7</v>
          </cell>
          <cell r="CU186">
            <v>59.1</v>
          </cell>
          <cell r="CV186">
            <v>53.2</v>
          </cell>
          <cell r="CW186">
            <v>47.9</v>
          </cell>
          <cell r="CX186">
            <v>92</v>
          </cell>
          <cell r="CY186">
            <v>82.8</v>
          </cell>
          <cell r="CZ186">
            <v>73.7</v>
          </cell>
          <cell r="DA186">
            <v>82.8</v>
          </cell>
          <cell r="DB186">
            <v>77.3</v>
          </cell>
          <cell r="DC186">
            <v>69.599999999999994</v>
          </cell>
          <cell r="DD186">
            <v>62.6</v>
          </cell>
          <cell r="DE186">
            <v>56.4</v>
          </cell>
          <cell r="DF186">
            <v>50.7</v>
          </cell>
          <cell r="DG186">
            <v>0</v>
          </cell>
          <cell r="DH186">
            <v>1</v>
          </cell>
          <cell r="DI186">
            <v>0</v>
          </cell>
          <cell r="DJ186">
            <v>1</v>
          </cell>
          <cell r="DK186">
            <v>0</v>
          </cell>
          <cell r="DL186">
            <v>1</v>
          </cell>
          <cell r="DM186">
            <v>1.1000000000000001</v>
          </cell>
          <cell r="DN186">
            <v>1.2</v>
          </cell>
          <cell r="DO186">
            <v>1.3</v>
          </cell>
          <cell r="DP186">
            <v>0</v>
          </cell>
          <cell r="DQ186">
            <v>1</v>
          </cell>
          <cell r="DR186">
            <v>0</v>
          </cell>
          <cell r="DS186">
            <v>1</v>
          </cell>
          <cell r="DT186">
            <v>1.6</v>
          </cell>
          <cell r="DU186">
            <v>1.8</v>
          </cell>
          <cell r="DV186">
            <v>1.9</v>
          </cell>
          <cell r="DW186">
            <v>2.1</v>
          </cell>
          <cell r="DX186">
            <v>2.2999999999999998</v>
          </cell>
          <cell r="DY186">
            <v>0</v>
          </cell>
          <cell r="DZ186">
            <v>1</v>
          </cell>
          <cell r="EA186">
            <v>0</v>
          </cell>
          <cell r="EB186">
            <v>1</v>
          </cell>
          <cell r="EC186">
            <v>0</v>
          </cell>
          <cell r="ED186">
            <v>1</v>
          </cell>
          <cell r="EE186">
            <v>1.1000000000000001</v>
          </cell>
          <cell r="EF186">
            <v>1.2</v>
          </cell>
          <cell r="EG186">
            <v>1.3</v>
          </cell>
        </row>
        <row r="187">
          <cell r="A187" t="str">
            <v>01490090Low income</v>
          </cell>
          <cell r="B187" t="str">
            <v>01490090F</v>
          </cell>
          <cell r="C187" t="str">
            <v>0149</v>
          </cell>
          <cell r="D187" t="str">
            <v>01490090</v>
          </cell>
          <cell r="E187" t="str">
            <v>Lawrence</v>
          </cell>
          <cell r="F187" t="str">
            <v>UP Academy Leonard Middle School</v>
          </cell>
          <cell r="G187" t="str">
            <v>MS</v>
          </cell>
          <cell r="H187" t="str">
            <v>Lawrence - UP Academy Leonard Middle School (01490090)</v>
          </cell>
          <cell r="I187" t="str">
            <v>Low income</v>
          </cell>
          <cell r="J187" t="str">
            <v>01490090Low income</v>
          </cell>
          <cell r="K187" t="str">
            <v>--</v>
          </cell>
          <cell r="L187">
            <v>67.5</v>
          </cell>
          <cell r="M187">
            <v>70.2</v>
          </cell>
          <cell r="N187">
            <v>63.9</v>
          </cell>
          <cell r="O187">
            <v>72.900000000000006</v>
          </cell>
          <cell r="P187">
            <v>67</v>
          </cell>
          <cell r="Q187">
            <v>75.599999999999994</v>
          </cell>
          <cell r="R187">
            <v>78.3</v>
          </cell>
          <cell r="S187">
            <v>81</v>
          </cell>
          <cell r="T187">
            <v>83.8</v>
          </cell>
          <cell r="U187">
            <v>42.8</v>
          </cell>
          <cell r="V187">
            <v>47.6</v>
          </cell>
          <cell r="W187">
            <v>43.6</v>
          </cell>
          <cell r="X187">
            <v>52.3</v>
          </cell>
          <cell r="Y187">
            <v>57</v>
          </cell>
          <cell r="Z187">
            <v>57.1</v>
          </cell>
          <cell r="AA187">
            <v>61.9</v>
          </cell>
          <cell r="AB187">
            <v>66.599999999999994</v>
          </cell>
          <cell r="AC187">
            <v>71.400000000000006</v>
          </cell>
          <cell r="AD187">
            <v>33</v>
          </cell>
          <cell r="AE187">
            <v>38.6</v>
          </cell>
          <cell r="AF187">
            <v>45.4</v>
          </cell>
          <cell r="AG187">
            <v>44.2</v>
          </cell>
          <cell r="AH187">
            <v>46.3</v>
          </cell>
          <cell r="AI187">
            <v>49.8</v>
          </cell>
          <cell r="AJ187">
            <v>55.3</v>
          </cell>
          <cell r="AK187">
            <v>60.9</v>
          </cell>
          <cell r="AL187">
            <v>66.5</v>
          </cell>
          <cell r="AM187" t="str">
            <v>--</v>
          </cell>
          <cell r="AN187" t="str">
            <v>--</v>
          </cell>
          <cell r="AO187" t="str">
            <v>--</v>
          </cell>
          <cell r="AP187" t="str">
            <v>--</v>
          </cell>
          <cell r="AQ187" t="str">
            <v>--</v>
          </cell>
          <cell r="AR187" t="str">
            <v>--</v>
          </cell>
          <cell r="AS187" t="str">
            <v>--</v>
          </cell>
          <cell r="AT187" t="str">
            <v>--</v>
          </cell>
          <cell r="AU187" t="str">
            <v>--</v>
          </cell>
          <cell r="AV187" t="str">
            <v>--</v>
          </cell>
          <cell r="AW187" t="str">
            <v>--</v>
          </cell>
          <cell r="AX187" t="str">
            <v>--</v>
          </cell>
          <cell r="AY187" t="str">
            <v>--</v>
          </cell>
          <cell r="AZ187" t="str">
            <v>--</v>
          </cell>
          <cell r="BA187" t="str">
            <v>--</v>
          </cell>
          <cell r="BB187" t="str">
            <v>--</v>
          </cell>
          <cell r="BC187" t="str">
            <v>--</v>
          </cell>
          <cell r="BD187" t="str">
            <v>--</v>
          </cell>
          <cell r="BE187" t="str">
            <v>--</v>
          </cell>
          <cell r="BF187" t="str">
            <v>--</v>
          </cell>
          <cell r="BG187" t="str">
            <v>--</v>
          </cell>
          <cell r="BH187" t="str">
            <v>--</v>
          </cell>
          <cell r="BI187" t="str">
            <v>--</v>
          </cell>
          <cell r="BJ187" t="str">
            <v>--</v>
          </cell>
          <cell r="BK187" t="str">
            <v>--</v>
          </cell>
          <cell r="BL187" t="str">
            <v>--</v>
          </cell>
          <cell r="BM187" t="str">
            <v>--</v>
          </cell>
          <cell r="BN187">
            <v>31</v>
          </cell>
          <cell r="BO187">
            <v>41</v>
          </cell>
          <cell r="BP187">
            <v>37</v>
          </cell>
          <cell r="BQ187">
            <v>47</v>
          </cell>
          <cell r="BR187">
            <v>39</v>
          </cell>
          <cell r="BS187">
            <v>49</v>
          </cell>
          <cell r="BT187">
            <v>51</v>
          </cell>
          <cell r="BU187">
            <v>51</v>
          </cell>
          <cell r="BV187">
            <v>51</v>
          </cell>
          <cell r="BW187">
            <v>25</v>
          </cell>
          <cell r="BX187">
            <v>35</v>
          </cell>
          <cell r="BY187">
            <v>31</v>
          </cell>
          <cell r="BZ187">
            <v>41</v>
          </cell>
          <cell r="CA187">
            <v>57</v>
          </cell>
          <cell r="CB187">
            <v>51</v>
          </cell>
          <cell r="CC187">
            <v>51</v>
          </cell>
          <cell r="CD187">
            <v>51</v>
          </cell>
          <cell r="CE187">
            <v>51</v>
          </cell>
          <cell r="CF187">
            <v>24.8</v>
          </cell>
          <cell r="CG187">
            <v>22.3</v>
          </cell>
          <cell r="CH187">
            <v>28.4</v>
          </cell>
          <cell r="CI187">
            <v>25.6</v>
          </cell>
          <cell r="CJ187">
            <v>23.4</v>
          </cell>
          <cell r="CK187">
            <v>21.1</v>
          </cell>
          <cell r="CL187">
            <v>19</v>
          </cell>
          <cell r="CM187">
            <v>17.100000000000001</v>
          </cell>
          <cell r="CN187">
            <v>15.4</v>
          </cell>
          <cell r="CO187">
            <v>56.4</v>
          </cell>
          <cell r="CP187">
            <v>50.8</v>
          </cell>
          <cell r="CQ187">
            <v>57.1</v>
          </cell>
          <cell r="CR187">
            <v>51.4</v>
          </cell>
          <cell r="CS187">
            <v>39.799999999999997</v>
          </cell>
          <cell r="CT187">
            <v>35.799999999999997</v>
          </cell>
          <cell r="CU187">
            <v>32.200000000000003</v>
          </cell>
          <cell r="CV187">
            <v>29</v>
          </cell>
          <cell r="CW187">
            <v>26.1</v>
          </cell>
          <cell r="CX187">
            <v>71.599999999999994</v>
          </cell>
          <cell r="CY187">
            <v>64.400000000000006</v>
          </cell>
          <cell r="CZ187">
            <v>49.5</v>
          </cell>
          <cell r="DA187">
            <v>44.6</v>
          </cell>
          <cell r="DB187">
            <v>49.4</v>
          </cell>
          <cell r="DC187">
            <v>44.5</v>
          </cell>
          <cell r="DD187">
            <v>40</v>
          </cell>
          <cell r="DE187">
            <v>36</v>
          </cell>
          <cell r="DF187">
            <v>32.4</v>
          </cell>
          <cell r="DG187">
            <v>0.4</v>
          </cell>
          <cell r="DH187">
            <v>0.4</v>
          </cell>
          <cell r="DI187">
            <v>1.1000000000000001</v>
          </cell>
          <cell r="DJ187">
            <v>1.2</v>
          </cell>
          <cell r="DK187">
            <v>1</v>
          </cell>
          <cell r="DL187">
            <v>1.1000000000000001</v>
          </cell>
          <cell r="DM187">
            <v>1.2</v>
          </cell>
          <cell r="DN187">
            <v>1.3</v>
          </cell>
          <cell r="DO187">
            <v>1.5</v>
          </cell>
          <cell r="DP187">
            <v>2.1</v>
          </cell>
          <cell r="DQ187">
            <v>2.2999999999999998</v>
          </cell>
          <cell r="DR187">
            <v>1.5</v>
          </cell>
          <cell r="DS187">
            <v>1.7</v>
          </cell>
          <cell r="DT187">
            <v>8.8000000000000007</v>
          </cell>
          <cell r="DU187">
            <v>9.6999999999999993</v>
          </cell>
          <cell r="DV187">
            <v>10.6</v>
          </cell>
          <cell r="DW187">
            <v>11.7</v>
          </cell>
          <cell r="DX187">
            <v>12.9</v>
          </cell>
          <cell r="DY187">
            <v>0</v>
          </cell>
          <cell r="DZ187">
            <v>1</v>
          </cell>
          <cell r="EA187">
            <v>0</v>
          </cell>
          <cell r="EB187">
            <v>1</v>
          </cell>
          <cell r="EC187">
            <v>0</v>
          </cell>
          <cell r="ED187">
            <v>1</v>
          </cell>
          <cell r="EE187">
            <v>1.1000000000000001</v>
          </cell>
          <cell r="EF187">
            <v>1.2</v>
          </cell>
          <cell r="EG187">
            <v>1.3</v>
          </cell>
        </row>
        <row r="188">
          <cell r="A188" t="str">
            <v>01490090Hispanic/Latino</v>
          </cell>
          <cell r="B188" t="str">
            <v>01490090H</v>
          </cell>
          <cell r="C188" t="str">
            <v>0149</v>
          </cell>
          <cell r="D188" t="str">
            <v>01490090</v>
          </cell>
          <cell r="E188" t="str">
            <v>Lawrence</v>
          </cell>
          <cell r="F188" t="str">
            <v>UP Academy Leonard Middle School</v>
          </cell>
          <cell r="G188" t="str">
            <v>MS</v>
          </cell>
          <cell r="H188" t="str">
            <v>Lawrence - UP Academy Leonard Middle School (01490090)</v>
          </cell>
          <cell r="I188" t="str">
            <v>Hispanic/Latino</v>
          </cell>
          <cell r="J188" t="str">
            <v>01490090Hispanic/Latino</v>
          </cell>
          <cell r="K188" t="str">
            <v>--</v>
          </cell>
          <cell r="L188">
            <v>67.599999999999994</v>
          </cell>
          <cell r="M188">
            <v>70.3</v>
          </cell>
          <cell r="N188">
            <v>63.7</v>
          </cell>
          <cell r="O188">
            <v>73</v>
          </cell>
          <cell r="P188">
            <v>67</v>
          </cell>
          <cell r="Q188">
            <v>75.7</v>
          </cell>
          <cell r="R188">
            <v>78.400000000000006</v>
          </cell>
          <cell r="S188">
            <v>81.099999999999994</v>
          </cell>
          <cell r="T188">
            <v>83.8</v>
          </cell>
          <cell r="U188">
            <v>43.2</v>
          </cell>
          <cell r="V188">
            <v>47.9</v>
          </cell>
          <cell r="W188">
            <v>43.1</v>
          </cell>
          <cell r="X188">
            <v>52.7</v>
          </cell>
          <cell r="Y188">
            <v>56.6</v>
          </cell>
          <cell r="Z188">
            <v>57.4</v>
          </cell>
          <cell r="AA188">
            <v>62.1</v>
          </cell>
          <cell r="AB188">
            <v>66.900000000000006</v>
          </cell>
          <cell r="AC188">
            <v>71.599999999999994</v>
          </cell>
          <cell r="AD188">
            <v>33.200000000000003</v>
          </cell>
          <cell r="AE188">
            <v>38.799999999999997</v>
          </cell>
          <cell r="AF188">
            <v>46</v>
          </cell>
          <cell r="AG188">
            <v>44.3</v>
          </cell>
          <cell r="AH188">
            <v>46.9</v>
          </cell>
          <cell r="AI188">
            <v>49.9</v>
          </cell>
          <cell r="AJ188">
            <v>55.5</v>
          </cell>
          <cell r="AK188">
            <v>61</v>
          </cell>
          <cell r="AL188">
            <v>66.599999999999994</v>
          </cell>
          <cell r="AM188" t="str">
            <v>--</v>
          </cell>
          <cell r="AN188" t="str">
            <v>--</v>
          </cell>
          <cell r="AO188" t="str">
            <v>--</v>
          </cell>
          <cell r="AP188" t="str">
            <v>--</v>
          </cell>
          <cell r="AQ188" t="str">
            <v>--</v>
          </cell>
          <cell r="AR188" t="str">
            <v>--</v>
          </cell>
          <cell r="AS188" t="str">
            <v>--</v>
          </cell>
          <cell r="AT188" t="str">
            <v>--</v>
          </cell>
          <cell r="AU188" t="str">
            <v>--</v>
          </cell>
          <cell r="AV188" t="str">
            <v>--</v>
          </cell>
          <cell r="AW188" t="str">
            <v>--</v>
          </cell>
          <cell r="AX188" t="str">
            <v>--</v>
          </cell>
          <cell r="AY188" t="str">
            <v>--</v>
          </cell>
          <cell r="AZ188" t="str">
            <v>--</v>
          </cell>
          <cell r="BA188" t="str">
            <v>--</v>
          </cell>
          <cell r="BB188" t="str">
            <v>--</v>
          </cell>
          <cell r="BC188" t="str">
            <v>--</v>
          </cell>
          <cell r="BD188" t="str">
            <v>--</v>
          </cell>
          <cell r="BE188" t="str">
            <v>--</v>
          </cell>
          <cell r="BF188" t="str">
            <v>--</v>
          </cell>
          <cell r="BG188" t="str">
            <v>--</v>
          </cell>
          <cell r="BH188" t="str">
            <v>--</v>
          </cell>
          <cell r="BI188" t="str">
            <v>--</v>
          </cell>
          <cell r="BJ188" t="str">
            <v>--</v>
          </cell>
          <cell r="BK188" t="str">
            <v>--</v>
          </cell>
          <cell r="BL188" t="str">
            <v>--</v>
          </cell>
          <cell r="BM188" t="str">
            <v>--</v>
          </cell>
          <cell r="BN188">
            <v>31</v>
          </cell>
          <cell r="BO188">
            <v>41</v>
          </cell>
          <cell r="BP188">
            <v>37</v>
          </cell>
          <cell r="BQ188">
            <v>47</v>
          </cell>
          <cell r="BR188">
            <v>41</v>
          </cell>
          <cell r="BS188">
            <v>51</v>
          </cell>
          <cell r="BT188">
            <v>51</v>
          </cell>
          <cell r="BU188">
            <v>51</v>
          </cell>
          <cell r="BV188">
            <v>51</v>
          </cell>
          <cell r="BW188">
            <v>25</v>
          </cell>
          <cell r="BX188">
            <v>35</v>
          </cell>
          <cell r="BY188">
            <v>32</v>
          </cell>
          <cell r="BZ188">
            <v>42</v>
          </cell>
          <cell r="CA188">
            <v>59</v>
          </cell>
          <cell r="CB188">
            <v>51</v>
          </cell>
          <cell r="CC188">
            <v>51</v>
          </cell>
          <cell r="CD188">
            <v>51</v>
          </cell>
          <cell r="CE188">
            <v>51</v>
          </cell>
          <cell r="CF188">
            <v>24.5</v>
          </cell>
          <cell r="CG188">
            <v>22.1</v>
          </cell>
          <cell r="CH188">
            <v>28.5</v>
          </cell>
          <cell r="CI188">
            <v>25.7</v>
          </cell>
          <cell r="CJ188">
            <v>24.1</v>
          </cell>
          <cell r="CK188">
            <v>21.7</v>
          </cell>
          <cell r="CL188">
            <v>19.5</v>
          </cell>
          <cell r="CM188">
            <v>17.600000000000001</v>
          </cell>
          <cell r="CN188">
            <v>15.8</v>
          </cell>
          <cell r="CO188">
            <v>55.7</v>
          </cell>
          <cell r="CP188">
            <v>50.1</v>
          </cell>
          <cell r="CQ188">
            <v>57.9</v>
          </cell>
          <cell r="CR188">
            <v>52.1</v>
          </cell>
          <cell r="CS188">
            <v>40.6</v>
          </cell>
          <cell r="CT188">
            <v>36.5</v>
          </cell>
          <cell r="CU188">
            <v>32.9</v>
          </cell>
          <cell r="CV188">
            <v>29.6</v>
          </cell>
          <cell r="CW188">
            <v>26.6</v>
          </cell>
          <cell r="CX188">
            <v>70.599999999999994</v>
          </cell>
          <cell r="CY188">
            <v>63.5</v>
          </cell>
          <cell r="CZ188">
            <v>48.9</v>
          </cell>
          <cell r="DA188">
            <v>44</v>
          </cell>
          <cell r="DB188">
            <v>48.3</v>
          </cell>
          <cell r="DC188">
            <v>43.5</v>
          </cell>
          <cell r="DD188">
            <v>39.1</v>
          </cell>
          <cell r="DE188">
            <v>35.200000000000003</v>
          </cell>
          <cell r="DF188">
            <v>31.7</v>
          </cell>
          <cell r="DG188">
            <v>0.4</v>
          </cell>
          <cell r="DH188">
            <v>0.4</v>
          </cell>
          <cell r="DI188">
            <v>0.8</v>
          </cell>
          <cell r="DJ188">
            <v>0.9</v>
          </cell>
          <cell r="DK188">
            <v>0.7</v>
          </cell>
          <cell r="DL188">
            <v>0.8</v>
          </cell>
          <cell r="DM188">
            <v>0.8</v>
          </cell>
          <cell r="DN188">
            <v>0.9</v>
          </cell>
          <cell r="DO188">
            <v>1</v>
          </cell>
          <cell r="DP188">
            <v>1.7</v>
          </cell>
          <cell r="DQ188">
            <v>1.9</v>
          </cell>
          <cell r="DR188">
            <v>1.1000000000000001</v>
          </cell>
          <cell r="DS188">
            <v>1.2</v>
          </cell>
          <cell r="DT188">
            <v>8.4</v>
          </cell>
          <cell r="DU188">
            <v>9.1999999999999993</v>
          </cell>
          <cell r="DV188">
            <v>10.199999999999999</v>
          </cell>
          <cell r="DW188">
            <v>11.2</v>
          </cell>
          <cell r="DX188">
            <v>12.3</v>
          </cell>
          <cell r="DY188">
            <v>0</v>
          </cell>
          <cell r="DZ188">
            <v>1</v>
          </cell>
          <cell r="EA188">
            <v>0</v>
          </cell>
          <cell r="EB188">
            <v>1</v>
          </cell>
          <cell r="EC188">
            <v>0</v>
          </cell>
          <cell r="ED188">
            <v>1</v>
          </cell>
          <cell r="EE188">
            <v>1.1000000000000001</v>
          </cell>
          <cell r="EF188">
            <v>1.2</v>
          </cell>
          <cell r="EG188">
            <v>1.3</v>
          </cell>
        </row>
        <row r="189">
          <cell r="A189" t="str">
            <v>01490090ELL and Former ELL</v>
          </cell>
          <cell r="B189" t="str">
            <v>01490090L</v>
          </cell>
          <cell r="C189" t="str">
            <v>0149</v>
          </cell>
          <cell r="D189" t="str">
            <v>01490090</v>
          </cell>
          <cell r="E189" t="str">
            <v>Lawrence</v>
          </cell>
          <cell r="F189" t="str">
            <v>UP Academy Leonard Middle School</v>
          </cell>
          <cell r="G189" t="str">
            <v>MS</v>
          </cell>
          <cell r="H189" t="str">
            <v>Lawrence - UP Academy Leonard Middle School (01490090)</v>
          </cell>
          <cell r="I189" t="str">
            <v>ELL and Former ELL</v>
          </cell>
          <cell r="J189" t="str">
            <v>01490090ELL and Former ELL</v>
          </cell>
          <cell r="K189" t="str">
            <v>--</v>
          </cell>
          <cell r="L189">
            <v>49.6</v>
          </cell>
          <cell r="M189">
            <v>53.8</v>
          </cell>
          <cell r="N189">
            <v>42.9</v>
          </cell>
          <cell r="O189">
            <v>58</v>
          </cell>
          <cell r="P189">
            <v>49</v>
          </cell>
          <cell r="Q189">
            <v>62.2</v>
          </cell>
          <cell r="R189">
            <v>66.400000000000006</v>
          </cell>
          <cell r="S189">
            <v>70.599999999999994</v>
          </cell>
          <cell r="T189">
            <v>74.8</v>
          </cell>
          <cell r="U189">
            <v>31.4</v>
          </cell>
          <cell r="V189">
            <v>37.1</v>
          </cell>
          <cell r="W189">
            <v>32.4</v>
          </cell>
          <cell r="X189">
            <v>42.8</v>
          </cell>
          <cell r="Y189">
            <v>52.1</v>
          </cell>
          <cell r="Z189">
            <v>48.6</v>
          </cell>
          <cell r="AA189">
            <v>54.3</v>
          </cell>
          <cell r="AB189">
            <v>60</v>
          </cell>
          <cell r="AC189">
            <v>65.7</v>
          </cell>
          <cell r="AD189">
            <v>25</v>
          </cell>
          <cell r="AE189">
            <v>31.3</v>
          </cell>
          <cell r="AF189">
            <v>31.3</v>
          </cell>
          <cell r="AG189">
            <v>37.5</v>
          </cell>
          <cell r="AH189">
            <v>32.700000000000003</v>
          </cell>
          <cell r="AI189">
            <v>43.8</v>
          </cell>
          <cell r="AJ189">
            <v>50</v>
          </cell>
          <cell r="AK189">
            <v>56.3</v>
          </cell>
          <cell r="AL189">
            <v>62.5</v>
          </cell>
          <cell r="AM189" t="str">
            <v>--</v>
          </cell>
          <cell r="AN189" t="str">
            <v>--</v>
          </cell>
          <cell r="AO189" t="str">
            <v>--</v>
          </cell>
          <cell r="AP189" t="str">
            <v>--</v>
          </cell>
          <cell r="AQ189" t="str">
            <v>--</v>
          </cell>
          <cell r="AR189" t="str">
            <v>--</v>
          </cell>
          <cell r="AS189" t="str">
            <v>--</v>
          </cell>
          <cell r="AT189" t="str">
            <v>--</v>
          </cell>
          <cell r="AU189" t="str">
            <v>--</v>
          </cell>
          <cell r="AV189" t="str">
            <v>--</v>
          </cell>
          <cell r="AW189" t="str">
            <v>--</v>
          </cell>
          <cell r="AX189" t="str">
            <v>--</v>
          </cell>
          <cell r="AY189" t="str">
            <v>--</v>
          </cell>
          <cell r="AZ189" t="str">
            <v>--</v>
          </cell>
          <cell r="BA189" t="str">
            <v>--</v>
          </cell>
          <cell r="BB189" t="str">
            <v>--</v>
          </cell>
          <cell r="BC189" t="str">
            <v>--</v>
          </cell>
          <cell r="BD189" t="str">
            <v>--</v>
          </cell>
          <cell r="BE189" t="str">
            <v>--</v>
          </cell>
          <cell r="BF189" t="str">
            <v>--</v>
          </cell>
          <cell r="BG189" t="str">
            <v>--</v>
          </cell>
          <cell r="BH189" t="str">
            <v>--</v>
          </cell>
          <cell r="BI189" t="str">
            <v>--</v>
          </cell>
          <cell r="BJ189" t="str">
            <v>--</v>
          </cell>
          <cell r="BK189" t="str">
            <v>--</v>
          </cell>
          <cell r="BL189" t="str">
            <v>--</v>
          </cell>
          <cell r="BM189" t="str">
            <v>--</v>
          </cell>
          <cell r="BN189">
            <v>45.5</v>
          </cell>
          <cell r="BO189">
            <v>51</v>
          </cell>
          <cell r="BP189">
            <v>39</v>
          </cell>
          <cell r="BQ189">
            <v>49</v>
          </cell>
          <cell r="BR189">
            <v>41</v>
          </cell>
          <cell r="BS189">
            <v>51</v>
          </cell>
          <cell r="BT189">
            <v>51</v>
          </cell>
          <cell r="BU189">
            <v>51</v>
          </cell>
          <cell r="BV189">
            <v>51</v>
          </cell>
          <cell r="BW189">
            <v>37</v>
          </cell>
          <cell r="BX189">
            <v>47</v>
          </cell>
          <cell r="BY189">
            <v>45</v>
          </cell>
          <cell r="BZ189">
            <v>51</v>
          </cell>
          <cell r="CA189">
            <v>84</v>
          </cell>
          <cell r="CB189">
            <v>51</v>
          </cell>
          <cell r="CC189">
            <v>51</v>
          </cell>
          <cell r="CD189">
            <v>51</v>
          </cell>
          <cell r="CE189">
            <v>51</v>
          </cell>
          <cell r="CF189">
            <v>50.8</v>
          </cell>
          <cell r="CG189">
            <v>45.7</v>
          </cell>
          <cell r="CH189">
            <v>57.1</v>
          </cell>
          <cell r="CI189">
            <v>51.4</v>
          </cell>
          <cell r="CJ189">
            <v>47.4</v>
          </cell>
          <cell r="CK189">
            <v>42.7</v>
          </cell>
          <cell r="CL189">
            <v>38.4</v>
          </cell>
          <cell r="CM189">
            <v>34.6</v>
          </cell>
          <cell r="CN189">
            <v>31.1</v>
          </cell>
          <cell r="CO189">
            <v>76.3</v>
          </cell>
          <cell r="CP189">
            <v>68.7</v>
          </cell>
          <cell r="CQ189">
            <v>72.099999999999994</v>
          </cell>
          <cell r="CR189">
            <v>64.900000000000006</v>
          </cell>
          <cell r="CS189">
            <v>45.9</v>
          </cell>
          <cell r="CT189">
            <v>41.3</v>
          </cell>
          <cell r="CU189">
            <v>37.200000000000003</v>
          </cell>
          <cell r="CV189">
            <v>33.5</v>
          </cell>
          <cell r="CW189">
            <v>30.1</v>
          </cell>
          <cell r="CX189">
            <v>86.4</v>
          </cell>
          <cell r="CY189">
            <v>77.8</v>
          </cell>
          <cell r="CZ189">
            <v>80</v>
          </cell>
          <cell r="DA189">
            <v>72</v>
          </cell>
          <cell r="DB189">
            <v>76.900000000000006</v>
          </cell>
          <cell r="DC189">
            <v>69.2</v>
          </cell>
          <cell r="DD189">
            <v>62.3</v>
          </cell>
          <cell r="DE189">
            <v>56.1</v>
          </cell>
          <cell r="DF189">
            <v>50.5</v>
          </cell>
          <cell r="DG189">
            <v>1.7</v>
          </cell>
          <cell r="DH189">
            <v>1.9</v>
          </cell>
          <cell r="DI189">
            <v>0</v>
          </cell>
          <cell r="DJ189">
            <v>1</v>
          </cell>
          <cell r="DK189">
            <v>0</v>
          </cell>
          <cell r="DL189">
            <v>1</v>
          </cell>
          <cell r="DM189">
            <v>1.1000000000000001</v>
          </cell>
          <cell r="DN189">
            <v>1.2</v>
          </cell>
          <cell r="DO189">
            <v>1.3</v>
          </cell>
          <cell r="DP189">
            <v>0</v>
          </cell>
          <cell r="DQ189">
            <v>1</v>
          </cell>
          <cell r="DR189">
            <v>1.5</v>
          </cell>
          <cell r="DS189">
            <v>1.7</v>
          </cell>
          <cell r="DT189">
            <v>5.9</v>
          </cell>
          <cell r="DU189">
            <v>6.5</v>
          </cell>
          <cell r="DV189">
            <v>7.1</v>
          </cell>
          <cell r="DW189">
            <v>7.9</v>
          </cell>
          <cell r="DX189">
            <v>8.6</v>
          </cell>
          <cell r="DY189">
            <v>0</v>
          </cell>
          <cell r="DZ189">
            <v>1</v>
          </cell>
          <cell r="EA189">
            <v>0</v>
          </cell>
          <cell r="EB189">
            <v>1</v>
          </cell>
          <cell r="EC189">
            <v>0</v>
          </cell>
          <cell r="ED189">
            <v>1</v>
          </cell>
          <cell r="EE189">
            <v>1.1000000000000001</v>
          </cell>
          <cell r="EF189">
            <v>1.2</v>
          </cell>
          <cell r="EG189">
            <v>1.3</v>
          </cell>
        </row>
        <row r="190">
          <cell r="A190" t="str">
            <v>01490090Multi-race, Non-Hisp./Lat.</v>
          </cell>
          <cell r="B190" t="str">
            <v>01490090M</v>
          </cell>
          <cell r="C190" t="str">
            <v>0149</v>
          </cell>
          <cell r="D190" t="str">
            <v>01490090</v>
          </cell>
          <cell r="E190" t="str">
            <v>Lawrence</v>
          </cell>
          <cell r="F190" t="str">
            <v>UP Academy Leonard Middle School</v>
          </cell>
          <cell r="G190" t="str">
            <v>MS</v>
          </cell>
          <cell r="H190" t="str">
            <v>Lawrence - UP Academy Leonard Middle School (01490090)</v>
          </cell>
          <cell r="I190" t="str">
            <v>Multi-race, Non-Hisp./Lat.</v>
          </cell>
          <cell r="J190" t="str">
            <v>01490090Multi-race, Non-Hisp./Lat.</v>
          </cell>
          <cell r="K190" t="str">
            <v>--</v>
          </cell>
          <cell r="L190" t="str">
            <v>--</v>
          </cell>
          <cell r="M190" t="str">
            <v>--</v>
          </cell>
          <cell r="N190" t="str">
            <v>--</v>
          </cell>
          <cell r="O190" t="str">
            <v>--</v>
          </cell>
          <cell r="P190" t="str">
            <v>--</v>
          </cell>
          <cell r="Q190" t="str">
            <v>--</v>
          </cell>
          <cell r="R190" t="str">
            <v>--</v>
          </cell>
          <cell r="S190" t="str">
            <v>--</v>
          </cell>
          <cell r="T190" t="str">
            <v>--</v>
          </cell>
          <cell r="U190" t="str">
            <v>--</v>
          </cell>
          <cell r="V190" t="str">
            <v>--</v>
          </cell>
          <cell r="W190" t="str">
            <v>--</v>
          </cell>
          <cell r="X190" t="str">
            <v>--</v>
          </cell>
          <cell r="Y190" t="str">
            <v>--</v>
          </cell>
          <cell r="Z190" t="str">
            <v>--</v>
          </cell>
          <cell r="AA190" t="str">
            <v>--</v>
          </cell>
          <cell r="AB190" t="str">
            <v>--</v>
          </cell>
          <cell r="AC190" t="str">
            <v>--</v>
          </cell>
          <cell r="AD190" t="str">
            <v>--</v>
          </cell>
          <cell r="AE190" t="str">
            <v>--</v>
          </cell>
          <cell r="AF190" t="str">
            <v>--</v>
          </cell>
          <cell r="AG190" t="str">
            <v>--</v>
          </cell>
          <cell r="AH190" t="str">
            <v>--</v>
          </cell>
          <cell r="AI190" t="str">
            <v>--</v>
          </cell>
          <cell r="AJ190" t="str">
            <v>--</v>
          </cell>
          <cell r="AK190" t="str">
            <v>--</v>
          </cell>
          <cell r="AL190" t="str">
            <v>--</v>
          </cell>
          <cell r="AM190" t="str">
            <v>--</v>
          </cell>
          <cell r="AN190" t="str">
            <v>--</v>
          </cell>
          <cell r="AO190" t="str">
            <v>--</v>
          </cell>
          <cell r="AP190" t="str">
            <v>--</v>
          </cell>
          <cell r="AQ190" t="str">
            <v>--</v>
          </cell>
          <cell r="AR190" t="str">
            <v>--</v>
          </cell>
          <cell r="AS190" t="str">
            <v>--</v>
          </cell>
          <cell r="AT190" t="str">
            <v>--</v>
          </cell>
          <cell r="AU190" t="str">
            <v>--</v>
          </cell>
          <cell r="AV190" t="str">
            <v>--</v>
          </cell>
          <cell r="AW190" t="str">
            <v>--</v>
          </cell>
          <cell r="AX190" t="str">
            <v>--</v>
          </cell>
          <cell r="AY190" t="str">
            <v>--</v>
          </cell>
          <cell r="AZ190" t="str">
            <v>--</v>
          </cell>
          <cell r="BA190" t="str">
            <v>--</v>
          </cell>
          <cell r="BB190" t="str">
            <v>--</v>
          </cell>
          <cell r="BC190" t="str">
            <v>--</v>
          </cell>
          <cell r="BD190" t="str">
            <v>--</v>
          </cell>
          <cell r="BE190" t="str">
            <v>--</v>
          </cell>
          <cell r="BF190" t="str">
            <v>--</v>
          </cell>
          <cell r="BG190" t="str">
            <v>--</v>
          </cell>
          <cell r="BH190" t="str">
            <v>--</v>
          </cell>
          <cell r="BI190" t="str">
            <v>--</v>
          </cell>
          <cell r="BJ190" t="str">
            <v>--</v>
          </cell>
          <cell r="BK190" t="str">
            <v>--</v>
          </cell>
          <cell r="BL190" t="str">
            <v>--</v>
          </cell>
          <cell r="BM190" t="str">
            <v>--</v>
          </cell>
          <cell r="BN190" t="str">
            <v>--</v>
          </cell>
          <cell r="BO190" t="str">
            <v>--</v>
          </cell>
          <cell r="BP190" t="str">
            <v>--</v>
          </cell>
          <cell r="BQ190" t="str">
            <v>--</v>
          </cell>
          <cell r="BR190" t="str">
            <v>--</v>
          </cell>
          <cell r="BS190" t="str">
            <v>--</v>
          </cell>
          <cell r="BT190" t="str">
            <v>--</v>
          </cell>
          <cell r="BU190" t="str">
            <v>--</v>
          </cell>
          <cell r="BV190" t="str">
            <v>--</v>
          </cell>
          <cell r="BW190" t="str">
            <v>--</v>
          </cell>
          <cell r="BX190" t="str">
            <v>--</v>
          </cell>
          <cell r="BY190" t="str">
            <v>--</v>
          </cell>
          <cell r="BZ190" t="str">
            <v>--</v>
          </cell>
          <cell r="CA190" t="str">
            <v>--</v>
          </cell>
          <cell r="CB190" t="str">
            <v>--</v>
          </cell>
          <cell r="CC190" t="str">
            <v>--</v>
          </cell>
          <cell r="CD190" t="str">
            <v>--</v>
          </cell>
          <cell r="CE190" t="str">
            <v>--</v>
          </cell>
          <cell r="CF190" t="str">
            <v>--</v>
          </cell>
          <cell r="CG190" t="str">
            <v>--</v>
          </cell>
          <cell r="CH190" t="str">
            <v>--</v>
          </cell>
          <cell r="CI190" t="str">
            <v>--</v>
          </cell>
          <cell r="CJ190" t="str">
            <v>--</v>
          </cell>
          <cell r="CK190" t="str">
            <v>--</v>
          </cell>
          <cell r="CL190" t="str">
            <v>--</v>
          </cell>
          <cell r="CM190" t="str">
            <v>--</v>
          </cell>
          <cell r="CN190" t="str">
            <v>--</v>
          </cell>
          <cell r="CO190" t="str">
            <v>--</v>
          </cell>
          <cell r="CP190" t="str">
            <v>--</v>
          </cell>
          <cell r="CQ190" t="str">
            <v>--</v>
          </cell>
          <cell r="CR190" t="str">
            <v>--</v>
          </cell>
          <cell r="CS190" t="str">
            <v>--</v>
          </cell>
          <cell r="CT190" t="str">
            <v>--</v>
          </cell>
          <cell r="CU190" t="str">
            <v>--</v>
          </cell>
          <cell r="CV190" t="str">
            <v>--</v>
          </cell>
          <cell r="CW190" t="str">
            <v>--</v>
          </cell>
          <cell r="CX190" t="str">
            <v>--</v>
          </cell>
          <cell r="CY190" t="str">
            <v>--</v>
          </cell>
          <cell r="CZ190" t="str">
            <v>--</v>
          </cell>
          <cell r="DA190" t="str">
            <v>--</v>
          </cell>
          <cell r="DB190" t="str">
            <v>--</v>
          </cell>
          <cell r="DC190" t="str">
            <v>--</v>
          </cell>
          <cell r="DD190" t="str">
            <v>--</v>
          </cell>
          <cell r="DE190" t="str">
            <v>--</v>
          </cell>
          <cell r="DF190" t="str">
            <v>--</v>
          </cell>
          <cell r="DG190" t="str">
            <v>--</v>
          </cell>
          <cell r="DH190" t="str">
            <v>--</v>
          </cell>
          <cell r="DI190" t="str">
            <v>--</v>
          </cell>
          <cell r="DJ190" t="str">
            <v>--</v>
          </cell>
          <cell r="DK190" t="str">
            <v>--</v>
          </cell>
          <cell r="DL190" t="str">
            <v>--</v>
          </cell>
          <cell r="DM190" t="str">
            <v>--</v>
          </cell>
          <cell r="DN190" t="str">
            <v>--</v>
          </cell>
          <cell r="DO190" t="str">
            <v>--</v>
          </cell>
          <cell r="DP190" t="str">
            <v>--</v>
          </cell>
          <cell r="DQ190" t="str">
            <v>--</v>
          </cell>
          <cell r="DR190" t="str">
            <v>--</v>
          </cell>
          <cell r="DS190" t="str">
            <v>--</v>
          </cell>
          <cell r="DT190" t="str">
            <v>--</v>
          </cell>
          <cell r="DU190" t="str">
            <v>--</v>
          </cell>
          <cell r="DV190" t="str">
            <v>--</v>
          </cell>
          <cell r="DW190" t="str">
            <v>--</v>
          </cell>
          <cell r="DX190" t="str">
            <v>--</v>
          </cell>
          <cell r="DY190" t="str">
            <v>--</v>
          </cell>
          <cell r="DZ190" t="str">
            <v>--</v>
          </cell>
          <cell r="EA190" t="str">
            <v>--</v>
          </cell>
          <cell r="EB190" t="str">
            <v>--</v>
          </cell>
          <cell r="EC190" t="str">
            <v>--</v>
          </cell>
          <cell r="ED190" t="str">
            <v>--</v>
          </cell>
          <cell r="EE190" t="str">
            <v>--</v>
          </cell>
          <cell r="EF190" t="str">
            <v>--</v>
          </cell>
          <cell r="EG190" t="str">
            <v>--</v>
          </cell>
        </row>
        <row r="191">
          <cell r="A191" t="str">
            <v>01490090Amer. Ind. or Alaska Nat.</v>
          </cell>
          <cell r="B191" t="str">
            <v>01490090N</v>
          </cell>
          <cell r="C191" t="str">
            <v>0149</v>
          </cell>
          <cell r="D191" t="str">
            <v>01490090</v>
          </cell>
          <cell r="E191" t="str">
            <v>Lawrence</v>
          </cell>
          <cell r="F191" t="str">
            <v>UP Academy Leonard Middle School</v>
          </cell>
          <cell r="G191" t="str">
            <v>MS</v>
          </cell>
          <cell r="H191" t="str">
            <v>Lawrence - UP Academy Leonard Middle School (01490090)</v>
          </cell>
          <cell r="I191" t="str">
            <v>Amer. Ind. or Alaska Nat.</v>
          </cell>
          <cell r="J191" t="str">
            <v>01490090Amer. Ind. or Alaska Nat.</v>
          </cell>
          <cell r="K191" t="str">
            <v>--</v>
          </cell>
          <cell r="L191" t="str">
            <v>--</v>
          </cell>
          <cell r="M191" t="str">
            <v>--</v>
          </cell>
          <cell r="N191" t="str">
            <v>--</v>
          </cell>
          <cell r="O191" t="str">
            <v>--</v>
          </cell>
          <cell r="P191" t="str">
            <v>--</v>
          </cell>
          <cell r="Q191" t="str">
            <v>--</v>
          </cell>
          <cell r="R191" t="str">
            <v>--</v>
          </cell>
          <cell r="S191" t="str">
            <v>--</v>
          </cell>
          <cell r="T191" t="str">
            <v>--</v>
          </cell>
          <cell r="U191" t="str">
            <v>--</v>
          </cell>
          <cell r="V191" t="str">
            <v>--</v>
          </cell>
          <cell r="W191" t="str">
            <v>--</v>
          </cell>
          <cell r="X191" t="str">
            <v>--</v>
          </cell>
          <cell r="Y191" t="str">
            <v>--</v>
          </cell>
          <cell r="Z191" t="str">
            <v>--</v>
          </cell>
          <cell r="AA191" t="str">
            <v>--</v>
          </cell>
          <cell r="AB191" t="str">
            <v>--</v>
          </cell>
          <cell r="AC191" t="str">
            <v>--</v>
          </cell>
          <cell r="AD191" t="str">
            <v>--</v>
          </cell>
          <cell r="AE191" t="str">
            <v>--</v>
          </cell>
          <cell r="AF191" t="str">
            <v>--</v>
          </cell>
          <cell r="AG191" t="str">
            <v>--</v>
          </cell>
          <cell r="AH191" t="str">
            <v>--</v>
          </cell>
          <cell r="AI191" t="str">
            <v>--</v>
          </cell>
          <cell r="AJ191" t="str">
            <v>--</v>
          </cell>
          <cell r="AK191" t="str">
            <v>--</v>
          </cell>
          <cell r="AL191" t="str">
            <v>--</v>
          </cell>
          <cell r="AM191" t="str">
            <v>--</v>
          </cell>
          <cell r="AN191" t="str">
            <v>--</v>
          </cell>
          <cell r="AO191" t="str">
            <v>--</v>
          </cell>
          <cell r="AP191" t="str">
            <v>--</v>
          </cell>
          <cell r="AQ191" t="str">
            <v>--</v>
          </cell>
          <cell r="AR191" t="str">
            <v>--</v>
          </cell>
          <cell r="AS191" t="str">
            <v>--</v>
          </cell>
          <cell r="AT191" t="str">
            <v>--</v>
          </cell>
          <cell r="AU191" t="str">
            <v>--</v>
          </cell>
          <cell r="AV191" t="str">
            <v>--</v>
          </cell>
          <cell r="AW191" t="str">
            <v>--</v>
          </cell>
          <cell r="AX191" t="str">
            <v>--</v>
          </cell>
          <cell r="AY191" t="str">
            <v>--</v>
          </cell>
          <cell r="AZ191" t="str">
            <v>--</v>
          </cell>
          <cell r="BA191" t="str">
            <v>--</v>
          </cell>
          <cell r="BB191" t="str">
            <v>--</v>
          </cell>
          <cell r="BC191" t="str">
            <v>--</v>
          </cell>
          <cell r="BD191" t="str">
            <v>--</v>
          </cell>
          <cell r="BE191" t="str">
            <v>--</v>
          </cell>
          <cell r="BF191" t="str">
            <v>--</v>
          </cell>
          <cell r="BG191" t="str">
            <v>--</v>
          </cell>
          <cell r="BH191" t="str">
            <v>--</v>
          </cell>
          <cell r="BI191" t="str">
            <v>--</v>
          </cell>
          <cell r="BJ191" t="str">
            <v>--</v>
          </cell>
          <cell r="BK191" t="str">
            <v>--</v>
          </cell>
          <cell r="BL191" t="str">
            <v>--</v>
          </cell>
          <cell r="BM191" t="str">
            <v>--</v>
          </cell>
          <cell r="BN191" t="str">
            <v>--</v>
          </cell>
          <cell r="BO191" t="str">
            <v>--</v>
          </cell>
          <cell r="BP191" t="str">
            <v>--</v>
          </cell>
          <cell r="BQ191" t="str">
            <v>--</v>
          </cell>
          <cell r="BR191" t="str">
            <v>--</v>
          </cell>
          <cell r="BS191" t="str">
            <v>--</v>
          </cell>
          <cell r="BT191" t="str">
            <v>--</v>
          </cell>
          <cell r="BU191" t="str">
            <v>--</v>
          </cell>
          <cell r="BV191" t="str">
            <v>--</v>
          </cell>
          <cell r="BW191" t="str">
            <v>--</v>
          </cell>
          <cell r="BX191" t="str">
            <v>--</v>
          </cell>
          <cell r="BY191" t="str">
            <v>--</v>
          </cell>
          <cell r="BZ191" t="str">
            <v>--</v>
          </cell>
          <cell r="CA191" t="str">
            <v>--</v>
          </cell>
          <cell r="CB191" t="str">
            <v>--</v>
          </cell>
          <cell r="CC191" t="str">
            <v>--</v>
          </cell>
          <cell r="CD191" t="str">
            <v>--</v>
          </cell>
          <cell r="CE191" t="str">
            <v>--</v>
          </cell>
          <cell r="CF191" t="str">
            <v>--</v>
          </cell>
          <cell r="CG191" t="str">
            <v>--</v>
          </cell>
          <cell r="CH191" t="str">
            <v>--</v>
          </cell>
          <cell r="CI191" t="str">
            <v>--</v>
          </cell>
          <cell r="CJ191" t="str">
            <v>--</v>
          </cell>
          <cell r="CK191" t="str">
            <v>--</v>
          </cell>
          <cell r="CL191" t="str">
            <v>--</v>
          </cell>
          <cell r="CM191" t="str">
            <v>--</v>
          </cell>
          <cell r="CN191" t="str">
            <v>--</v>
          </cell>
          <cell r="CO191" t="str">
            <v>--</v>
          </cell>
          <cell r="CP191" t="str">
            <v>--</v>
          </cell>
          <cell r="CQ191" t="str">
            <v>--</v>
          </cell>
          <cell r="CR191" t="str">
            <v>--</v>
          </cell>
          <cell r="CS191" t="str">
            <v>--</v>
          </cell>
          <cell r="CT191" t="str">
            <v>--</v>
          </cell>
          <cell r="CU191" t="str">
            <v>--</v>
          </cell>
          <cell r="CV191" t="str">
            <v>--</v>
          </cell>
          <cell r="CW191" t="str">
            <v>--</v>
          </cell>
          <cell r="CX191" t="str">
            <v>--</v>
          </cell>
          <cell r="CY191" t="str">
            <v>--</v>
          </cell>
          <cell r="CZ191" t="str">
            <v>--</v>
          </cell>
          <cell r="DA191" t="str">
            <v>--</v>
          </cell>
          <cell r="DB191" t="str">
            <v>--</v>
          </cell>
          <cell r="DC191" t="str">
            <v>--</v>
          </cell>
          <cell r="DD191" t="str">
            <v>--</v>
          </cell>
          <cell r="DE191" t="str">
            <v>--</v>
          </cell>
          <cell r="DF191" t="str">
            <v>--</v>
          </cell>
          <cell r="DG191" t="str">
            <v>--</v>
          </cell>
          <cell r="DH191" t="str">
            <v>--</v>
          </cell>
          <cell r="DI191" t="str">
            <v>--</v>
          </cell>
          <cell r="DJ191" t="str">
            <v>--</v>
          </cell>
          <cell r="DK191" t="str">
            <v>--</v>
          </cell>
          <cell r="DL191" t="str">
            <v>--</v>
          </cell>
          <cell r="DM191" t="str">
            <v>--</v>
          </cell>
          <cell r="DN191" t="str">
            <v>--</v>
          </cell>
          <cell r="DO191" t="str">
            <v>--</v>
          </cell>
          <cell r="DP191" t="str">
            <v>--</v>
          </cell>
          <cell r="DQ191" t="str">
            <v>--</v>
          </cell>
          <cell r="DR191" t="str">
            <v>--</v>
          </cell>
          <cell r="DS191" t="str">
            <v>--</v>
          </cell>
          <cell r="DT191" t="str">
            <v>--</v>
          </cell>
          <cell r="DU191" t="str">
            <v>--</v>
          </cell>
          <cell r="DV191" t="str">
            <v>--</v>
          </cell>
          <cell r="DW191" t="str">
            <v>--</v>
          </cell>
          <cell r="DX191" t="str">
            <v>--</v>
          </cell>
          <cell r="DY191" t="str">
            <v>--</v>
          </cell>
          <cell r="DZ191" t="str">
            <v>--</v>
          </cell>
          <cell r="EA191" t="str">
            <v>--</v>
          </cell>
          <cell r="EB191" t="str">
            <v>--</v>
          </cell>
          <cell r="EC191" t="str">
            <v>--</v>
          </cell>
          <cell r="ED191" t="str">
            <v>--</v>
          </cell>
          <cell r="EE191" t="str">
            <v>--</v>
          </cell>
          <cell r="EF191" t="str">
            <v>--</v>
          </cell>
          <cell r="EG191" t="str">
            <v>--</v>
          </cell>
        </row>
        <row r="192">
          <cell r="A192" t="str">
            <v>01490090Nat. Haw. or Pacif. Isl.</v>
          </cell>
          <cell r="B192" t="str">
            <v>01490090P</v>
          </cell>
          <cell r="C192" t="str">
            <v>0149</v>
          </cell>
          <cell r="D192" t="str">
            <v>01490090</v>
          </cell>
          <cell r="E192" t="str">
            <v>Lawrence</v>
          </cell>
          <cell r="F192" t="str">
            <v>UP Academy Leonard Middle School</v>
          </cell>
          <cell r="G192" t="str">
            <v>MS</v>
          </cell>
          <cell r="H192" t="str">
            <v>Lawrence - UP Academy Leonard Middle School (01490090)</v>
          </cell>
          <cell r="I192" t="str">
            <v>Nat. Haw. or Pacif. Isl.</v>
          </cell>
          <cell r="J192" t="str">
            <v>01490090Nat. Haw. or Pacif. Isl.</v>
          </cell>
          <cell r="K192" t="str">
            <v>--</v>
          </cell>
          <cell r="L192" t="str">
            <v>--</v>
          </cell>
          <cell r="M192" t="str">
            <v>--</v>
          </cell>
          <cell r="N192" t="str">
            <v>--</v>
          </cell>
          <cell r="O192" t="str">
            <v>--</v>
          </cell>
          <cell r="P192" t="str">
            <v>--</v>
          </cell>
          <cell r="Q192" t="str">
            <v>--</v>
          </cell>
          <cell r="R192" t="str">
            <v>--</v>
          </cell>
          <cell r="S192" t="str">
            <v>--</v>
          </cell>
          <cell r="T192" t="str">
            <v>--</v>
          </cell>
          <cell r="U192" t="str">
            <v>--</v>
          </cell>
          <cell r="V192" t="str">
            <v>--</v>
          </cell>
          <cell r="W192" t="str">
            <v>--</v>
          </cell>
          <cell r="X192" t="str">
            <v>--</v>
          </cell>
          <cell r="Y192" t="str">
            <v>--</v>
          </cell>
          <cell r="Z192" t="str">
            <v>--</v>
          </cell>
          <cell r="AA192" t="str">
            <v>--</v>
          </cell>
          <cell r="AB192" t="str">
            <v>--</v>
          </cell>
          <cell r="AC192" t="str">
            <v>--</v>
          </cell>
          <cell r="AD192" t="str">
            <v>--</v>
          </cell>
          <cell r="AE192" t="str">
            <v>--</v>
          </cell>
          <cell r="AF192" t="str">
            <v>--</v>
          </cell>
          <cell r="AG192" t="str">
            <v>--</v>
          </cell>
          <cell r="AH192" t="str">
            <v>--</v>
          </cell>
          <cell r="AI192" t="str">
            <v>--</v>
          </cell>
          <cell r="AJ192" t="str">
            <v>--</v>
          </cell>
          <cell r="AK192" t="str">
            <v>--</v>
          </cell>
          <cell r="AL192" t="str">
            <v>--</v>
          </cell>
          <cell r="AM192" t="str">
            <v>--</v>
          </cell>
          <cell r="AN192" t="str">
            <v>--</v>
          </cell>
          <cell r="AO192" t="str">
            <v>--</v>
          </cell>
          <cell r="AP192" t="str">
            <v>--</v>
          </cell>
          <cell r="AQ192" t="str">
            <v>--</v>
          </cell>
          <cell r="AR192" t="str">
            <v>--</v>
          </cell>
          <cell r="AS192" t="str">
            <v>--</v>
          </cell>
          <cell r="AT192" t="str">
            <v>--</v>
          </cell>
          <cell r="AU192" t="str">
            <v>--</v>
          </cell>
          <cell r="AV192" t="str">
            <v>--</v>
          </cell>
          <cell r="AW192" t="str">
            <v>--</v>
          </cell>
          <cell r="AX192" t="str">
            <v>--</v>
          </cell>
          <cell r="AY192" t="str">
            <v>--</v>
          </cell>
          <cell r="AZ192" t="str">
            <v>--</v>
          </cell>
          <cell r="BA192" t="str">
            <v>--</v>
          </cell>
          <cell r="BB192" t="str">
            <v>--</v>
          </cell>
          <cell r="BC192" t="str">
            <v>--</v>
          </cell>
          <cell r="BD192" t="str">
            <v>--</v>
          </cell>
          <cell r="BE192" t="str">
            <v>--</v>
          </cell>
          <cell r="BF192" t="str">
            <v>--</v>
          </cell>
          <cell r="BG192" t="str">
            <v>--</v>
          </cell>
          <cell r="BH192" t="str">
            <v>--</v>
          </cell>
          <cell r="BI192" t="str">
            <v>--</v>
          </cell>
          <cell r="BJ192" t="str">
            <v>--</v>
          </cell>
          <cell r="BK192" t="str">
            <v>--</v>
          </cell>
          <cell r="BL192" t="str">
            <v>--</v>
          </cell>
          <cell r="BM192" t="str">
            <v>--</v>
          </cell>
          <cell r="BN192" t="str">
            <v>--</v>
          </cell>
          <cell r="BO192" t="str">
            <v>--</v>
          </cell>
          <cell r="BP192" t="str">
            <v>--</v>
          </cell>
          <cell r="BQ192" t="str">
            <v>--</v>
          </cell>
          <cell r="BR192" t="str">
            <v>--</v>
          </cell>
          <cell r="BS192" t="str">
            <v>--</v>
          </cell>
          <cell r="BT192" t="str">
            <v>--</v>
          </cell>
          <cell r="BU192" t="str">
            <v>--</v>
          </cell>
          <cell r="BV192" t="str">
            <v>--</v>
          </cell>
          <cell r="BW192" t="str">
            <v>--</v>
          </cell>
          <cell r="BX192" t="str">
            <v>--</v>
          </cell>
          <cell r="BY192" t="str">
            <v>--</v>
          </cell>
          <cell r="BZ192" t="str">
            <v>--</v>
          </cell>
          <cell r="CA192" t="str">
            <v>--</v>
          </cell>
          <cell r="CB192" t="str">
            <v>--</v>
          </cell>
          <cell r="CC192" t="str">
            <v>--</v>
          </cell>
          <cell r="CD192" t="str">
            <v>--</v>
          </cell>
          <cell r="CE192" t="str">
            <v>--</v>
          </cell>
          <cell r="CF192" t="str">
            <v>--</v>
          </cell>
          <cell r="CG192" t="str">
            <v>--</v>
          </cell>
          <cell r="CH192" t="str">
            <v>--</v>
          </cell>
          <cell r="CI192" t="str">
            <v>--</v>
          </cell>
          <cell r="CJ192" t="str">
            <v>--</v>
          </cell>
          <cell r="CK192" t="str">
            <v>--</v>
          </cell>
          <cell r="CL192" t="str">
            <v>--</v>
          </cell>
          <cell r="CM192" t="str">
            <v>--</v>
          </cell>
          <cell r="CN192" t="str">
            <v>--</v>
          </cell>
          <cell r="CO192" t="str">
            <v>--</v>
          </cell>
          <cell r="CP192" t="str">
            <v>--</v>
          </cell>
          <cell r="CQ192" t="str">
            <v>--</v>
          </cell>
          <cell r="CR192" t="str">
            <v>--</v>
          </cell>
          <cell r="CS192" t="str">
            <v>--</v>
          </cell>
          <cell r="CT192" t="str">
            <v>--</v>
          </cell>
          <cell r="CU192" t="str">
            <v>--</v>
          </cell>
          <cell r="CV192" t="str">
            <v>--</v>
          </cell>
          <cell r="CW192" t="str">
            <v>--</v>
          </cell>
          <cell r="CX192" t="str">
            <v>--</v>
          </cell>
          <cell r="CY192" t="str">
            <v>--</v>
          </cell>
          <cell r="CZ192" t="str">
            <v>--</v>
          </cell>
          <cell r="DA192" t="str">
            <v>--</v>
          </cell>
          <cell r="DB192" t="str">
            <v>--</v>
          </cell>
          <cell r="DC192" t="str">
            <v>--</v>
          </cell>
          <cell r="DD192" t="str">
            <v>--</v>
          </cell>
          <cell r="DE192" t="str">
            <v>--</v>
          </cell>
          <cell r="DF192" t="str">
            <v>--</v>
          </cell>
          <cell r="DG192" t="str">
            <v>--</v>
          </cell>
          <cell r="DH192" t="str">
            <v>--</v>
          </cell>
          <cell r="DI192" t="str">
            <v>--</v>
          </cell>
          <cell r="DJ192" t="str">
            <v>--</v>
          </cell>
          <cell r="DK192" t="str">
            <v>--</v>
          </cell>
          <cell r="DL192" t="str">
            <v>--</v>
          </cell>
          <cell r="DM192" t="str">
            <v>--</v>
          </cell>
          <cell r="DN192" t="str">
            <v>--</v>
          </cell>
          <cell r="DO192" t="str">
            <v>--</v>
          </cell>
          <cell r="DP192" t="str">
            <v>--</v>
          </cell>
          <cell r="DQ192" t="str">
            <v>--</v>
          </cell>
          <cell r="DR192" t="str">
            <v>--</v>
          </cell>
          <cell r="DS192" t="str">
            <v>--</v>
          </cell>
          <cell r="DT192" t="str">
            <v>--</v>
          </cell>
          <cell r="DU192" t="str">
            <v>--</v>
          </cell>
          <cell r="DV192" t="str">
            <v>--</v>
          </cell>
          <cell r="DW192" t="str">
            <v>--</v>
          </cell>
          <cell r="DX192" t="str">
            <v>--</v>
          </cell>
          <cell r="DY192" t="str">
            <v>--</v>
          </cell>
          <cell r="DZ192" t="str">
            <v>--</v>
          </cell>
          <cell r="EA192" t="str">
            <v>--</v>
          </cell>
          <cell r="EB192" t="str">
            <v>--</v>
          </cell>
          <cell r="EC192" t="str">
            <v>--</v>
          </cell>
          <cell r="ED192" t="str">
            <v>--</v>
          </cell>
          <cell r="EE192" t="str">
            <v>--</v>
          </cell>
          <cell r="EF192" t="str">
            <v>--</v>
          </cell>
          <cell r="EG192" t="str">
            <v>--</v>
          </cell>
        </row>
        <row r="193">
          <cell r="A193" t="str">
            <v>01490090High needs</v>
          </cell>
          <cell r="B193" t="str">
            <v>01490090S</v>
          </cell>
          <cell r="C193" t="str">
            <v>0149</v>
          </cell>
          <cell r="D193" t="str">
            <v>01490090</v>
          </cell>
          <cell r="E193" t="str">
            <v>Lawrence</v>
          </cell>
          <cell r="F193" t="str">
            <v>UP Academy Leonard Middle School</v>
          </cell>
          <cell r="G193" t="str">
            <v>MS</v>
          </cell>
          <cell r="H193" t="str">
            <v>Lawrence - UP Academy Leonard Middle School (01490090)</v>
          </cell>
          <cell r="I193" t="str">
            <v>High needs</v>
          </cell>
          <cell r="J193" t="str">
            <v>01490090High needs</v>
          </cell>
          <cell r="K193" t="str">
            <v>--</v>
          </cell>
          <cell r="L193">
            <v>67.400000000000006</v>
          </cell>
          <cell r="M193">
            <v>70.099999999999994</v>
          </cell>
          <cell r="N193">
            <v>63.9</v>
          </cell>
          <cell r="O193">
            <v>72.8</v>
          </cell>
          <cell r="P193">
            <v>67</v>
          </cell>
          <cell r="Q193">
            <v>75.599999999999994</v>
          </cell>
          <cell r="R193">
            <v>78.3</v>
          </cell>
          <cell r="S193">
            <v>81</v>
          </cell>
          <cell r="T193">
            <v>83.7</v>
          </cell>
          <cell r="U193">
            <v>42.8</v>
          </cell>
          <cell r="V193">
            <v>47.6</v>
          </cell>
          <cell r="W193">
            <v>43.6</v>
          </cell>
          <cell r="X193">
            <v>52.3</v>
          </cell>
          <cell r="Y193">
            <v>57</v>
          </cell>
          <cell r="Z193">
            <v>57.1</v>
          </cell>
          <cell r="AA193">
            <v>61.9</v>
          </cell>
          <cell r="AB193">
            <v>66.599999999999994</v>
          </cell>
          <cell r="AC193">
            <v>71.400000000000006</v>
          </cell>
          <cell r="AD193">
            <v>33</v>
          </cell>
          <cell r="AE193">
            <v>38.6</v>
          </cell>
          <cell r="AF193">
            <v>45.4</v>
          </cell>
          <cell r="AG193">
            <v>44.2</v>
          </cell>
          <cell r="AH193">
            <v>46.3</v>
          </cell>
          <cell r="AI193">
            <v>49.8</v>
          </cell>
          <cell r="AJ193">
            <v>55.3</v>
          </cell>
          <cell r="AK193">
            <v>60.9</v>
          </cell>
          <cell r="AL193">
            <v>66.5</v>
          </cell>
          <cell r="AM193" t="str">
            <v>--</v>
          </cell>
          <cell r="AN193" t="str">
            <v>--</v>
          </cell>
          <cell r="AO193" t="str">
            <v>--</v>
          </cell>
          <cell r="AP193" t="str">
            <v>--</v>
          </cell>
          <cell r="AQ193" t="str">
            <v>--</v>
          </cell>
          <cell r="AR193" t="str">
            <v>--</v>
          </cell>
          <cell r="AS193" t="str">
            <v>--</v>
          </cell>
          <cell r="AT193" t="str">
            <v>--</v>
          </cell>
          <cell r="AU193" t="str">
            <v>--</v>
          </cell>
          <cell r="AV193" t="str">
            <v>--</v>
          </cell>
          <cell r="AW193" t="str">
            <v>--</v>
          </cell>
          <cell r="AX193" t="str">
            <v>--</v>
          </cell>
          <cell r="AY193" t="str">
            <v>--</v>
          </cell>
          <cell r="AZ193" t="str">
            <v>--</v>
          </cell>
          <cell r="BA193" t="str">
            <v>--</v>
          </cell>
          <cell r="BB193" t="str">
            <v>--</v>
          </cell>
          <cell r="BC193" t="str">
            <v>--</v>
          </cell>
          <cell r="BD193" t="str">
            <v>--</v>
          </cell>
          <cell r="BE193" t="str">
            <v>--</v>
          </cell>
          <cell r="BF193" t="str">
            <v>--</v>
          </cell>
          <cell r="BG193" t="str">
            <v>--</v>
          </cell>
          <cell r="BH193" t="str">
            <v>--</v>
          </cell>
          <cell r="BI193" t="str">
            <v>--</v>
          </cell>
          <cell r="BJ193" t="str">
            <v>--</v>
          </cell>
          <cell r="BK193" t="str">
            <v>--</v>
          </cell>
          <cell r="BL193" t="str">
            <v>--</v>
          </cell>
          <cell r="BM193" t="str">
            <v>--</v>
          </cell>
          <cell r="BN193">
            <v>31</v>
          </cell>
          <cell r="BO193">
            <v>41</v>
          </cell>
          <cell r="BP193">
            <v>37</v>
          </cell>
          <cell r="BQ193">
            <v>47</v>
          </cell>
          <cell r="BR193">
            <v>39</v>
          </cell>
          <cell r="BS193">
            <v>49</v>
          </cell>
          <cell r="BT193">
            <v>51</v>
          </cell>
          <cell r="BU193">
            <v>51</v>
          </cell>
          <cell r="BV193">
            <v>51</v>
          </cell>
          <cell r="BW193">
            <v>25</v>
          </cell>
          <cell r="BX193">
            <v>35</v>
          </cell>
          <cell r="BY193">
            <v>31</v>
          </cell>
          <cell r="BZ193">
            <v>41</v>
          </cell>
          <cell r="CA193">
            <v>57</v>
          </cell>
          <cell r="CB193">
            <v>51</v>
          </cell>
          <cell r="CC193">
            <v>51</v>
          </cell>
          <cell r="CD193">
            <v>51</v>
          </cell>
          <cell r="CE193">
            <v>51</v>
          </cell>
          <cell r="CF193">
            <v>25.1</v>
          </cell>
          <cell r="CG193">
            <v>22.6</v>
          </cell>
          <cell r="CH193">
            <v>28.4</v>
          </cell>
          <cell r="CI193">
            <v>25.6</v>
          </cell>
          <cell r="CJ193">
            <v>23.4</v>
          </cell>
          <cell r="CK193">
            <v>21.1</v>
          </cell>
          <cell r="CL193">
            <v>19</v>
          </cell>
          <cell r="CM193">
            <v>17.100000000000001</v>
          </cell>
          <cell r="CN193">
            <v>15.4</v>
          </cell>
          <cell r="CO193">
            <v>56.1</v>
          </cell>
          <cell r="CP193">
            <v>50.5</v>
          </cell>
          <cell r="CQ193">
            <v>57.1</v>
          </cell>
          <cell r="CR193">
            <v>51.4</v>
          </cell>
          <cell r="CS193">
            <v>39.799999999999997</v>
          </cell>
          <cell r="CT193">
            <v>35.799999999999997</v>
          </cell>
          <cell r="CU193">
            <v>32.200000000000003</v>
          </cell>
          <cell r="CV193">
            <v>29</v>
          </cell>
          <cell r="CW193">
            <v>26.1</v>
          </cell>
          <cell r="CX193">
            <v>71.599999999999994</v>
          </cell>
          <cell r="CY193">
            <v>64.400000000000006</v>
          </cell>
          <cell r="CZ193">
            <v>49.5</v>
          </cell>
          <cell r="DA193">
            <v>44.6</v>
          </cell>
          <cell r="DB193">
            <v>49.4</v>
          </cell>
          <cell r="DC193">
            <v>44.5</v>
          </cell>
          <cell r="DD193">
            <v>40</v>
          </cell>
          <cell r="DE193">
            <v>36</v>
          </cell>
          <cell r="DF193">
            <v>32.4</v>
          </cell>
          <cell r="DG193">
            <v>0.4</v>
          </cell>
          <cell r="DH193">
            <v>0.4</v>
          </cell>
          <cell r="DI193">
            <v>1.1000000000000001</v>
          </cell>
          <cell r="DJ193">
            <v>1.2</v>
          </cell>
          <cell r="DK193">
            <v>1</v>
          </cell>
          <cell r="DL193">
            <v>1.1000000000000001</v>
          </cell>
          <cell r="DM193">
            <v>1.2</v>
          </cell>
          <cell r="DN193">
            <v>1.3</v>
          </cell>
          <cell r="DO193">
            <v>1.5</v>
          </cell>
          <cell r="DP193">
            <v>2.1</v>
          </cell>
          <cell r="DQ193">
            <v>2.2999999999999998</v>
          </cell>
          <cell r="DR193">
            <v>1.5</v>
          </cell>
          <cell r="DS193">
            <v>1.7</v>
          </cell>
          <cell r="DT193">
            <v>8.8000000000000007</v>
          </cell>
          <cell r="DU193">
            <v>9.6999999999999993</v>
          </cell>
          <cell r="DV193">
            <v>10.6</v>
          </cell>
          <cell r="DW193">
            <v>11.7</v>
          </cell>
          <cell r="DX193">
            <v>12.9</v>
          </cell>
          <cell r="DY193">
            <v>0</v>
          </cell>
          <cell r="DZ193">
            <v>1</v>
          </cell>
          <cell r="EA193">
            <v>0</v>
          </cell>
          <cell r="EB193">
            <v>1</v>
          </cell>
          <cell r="EC193">
            <v>0</v>
          </cell>
          <cell r="ED193">
            <v>1</v>
          </cell>
          <cell r="EE193">
            <v>1.1000000000000001</v>
          </cell>
          <cell r="EF193">
            <v>1.2</v>
          </cell>
          <cell r="EG193">
            <v>1.3</v>
          </cell>
        </row>
        <row r="194">
          <cell r="A194" t="str">
            <v>01490090All students</v>
          </cell>
          <cell r="B194" t="str">
            <v>01490090T</v>
          </cell>
          <cell r="C194" t="str">
            <v>0149</v>
          </cell>
          <cell r="D194" t="str">
            <v>01490090</v>
          </cell>
          <cell r="E194" t="str">
            <v>Lawrence</v>
          </cell>
          <cell r="F194" t="str">
            <v>UP Academy Leonard Middle School</v>
          </cell>
          <cell r="G194" t="str">
            <v>MS</v>
          </cell>
          <cell r="H194" t="str">
            <v>Lawrence - UP Academy Leonard Middle School (01490090)</v>
          </cell>
          <cell r="I194" t="str">
            <v>All students</v>
          </cell>
          <cell r="J194" t="str">
            <v>01490090All students</v>
          </cell>
          <cell r="K194" t="str">
            <v>--</v>
          </cell>
          <cell r="L194">
            <v>67.599999999999994</v>
          </cell>
          <cell r="M194">
            <v>70.3</v>
          </cell>
          <cell r="N194">
            <v>64.3</v>
          </cell>
          <cell r="O194">
            <v>73</v>
          </cell>
          <cell r="P194">
            <v>67.5</v>
          </cell>
          <cell r="Q194">
            <v>75.7</v>
          </cell>
          <cell r="R194">
            <v>78.400000000000006</v>
          </cell>
          <cell r="S194">
            <v>81.099999999999994</v>
          </cell>
          <cell r="T194">
            <v>83.8</v>
          </cell>
          <cell r="U194">
            <v>43.2</v>
          </cell>
          <cell r="V194">
            <v>47.9</v>
          </cell>
          <cell r="W194">
            <v>43.9</v>
          </cell>
          <cell r="X194">
            <v>52.7</v>
          </cell>
          <cell r="Y194">
            <v>57.5</v>
          </cell>
          <cell r="Z194">
            <v>57.4</v>
          </cell>
          <cell r="AA194">
            <v>62.1</v>
          </cell>
          <cell r="AB194">
            <v>66.900000000000006</v>
          </cell>
          <cell r="AC194">
            <v>71.599999999999994</v>
          </cell>
          <cell r="AD194">
            <v>33</v>
          </cell>
          <cell r="AE194">
            <v>38.6</v>
          </cell>
          <cell r="AF194">
            <v>46.3</v>
          </cell>
          <cell r="AG194">
            <v>44.2</v>
          </cell>
          <cell r="AH194">
            <v>47</v>
          </cell>
          <cell r="AI194">
            <v>49.8</v>
          </cell>
          <cell r="AJ194">
            <v>55.3</v>
          </cell>
          <cell r="AK194">
            <v>60.9</v>
          </cell>
          <cell r="AL194">
            <v>66.5</v>
          </cell>
          <cell r="AM194" t="str">
            <v>--</v>
          </cell>
          <cell r="AN194" t="str">
            <v>--</v>
          </cell>
          <cell r="AO194" t="str">
            <v>--</v>
          </cell>
          <cell r="AP194" t="str">
            <v>--</v>
          </cell>
          <cell r="AQ194" t="str">
            <v>--</v>
          </cell>
          <cell r="AR194" t="str">
            <v>--</v>
          </cell>
          <cell r="AS194" t="str">
            <v>--</v>
          </cell>
          <cell r="AT194" t="str">
            <v>--</v>
          </cell>
          <cell r="AU194" t="str">
            <v>--</v>
          </cell>
          <cell r="AV194" t="str">
            <v>--</v>
          </cell>
          <cell r="AW194" t="str">
            <v>--</v>
          </cell>
          <cell r="AX194" t="str">
            <v>--</v>
          </cell>
          <cell r="AY194" t="str">
            <v>--</v>
          </cell>
          <cell r="AZ194" t="str">
            <v>--</v>
          </cell>
          <cell r="BA194" t="str">
            <v>--</v>
          </cell>
          <cell r="BB194" t="str">
            <v>--</v>
          </cell>
          <cell r="BC194" t="str">
            <v>--</v>
          </cell>
          <cell r="BD194" t="str">
            <v>--</v>
          </cell>
          <cell r="BE194" t="str">
            <v>--</v>
          </cell>
          <cell r="BF194" t="str">
            <v>--</v>
          </cell>
          <cell r="BG194" t="str">
            <v>--</v>
          </cell>
          <cell r="BH194" t="str">
            <v>--</v>
          </cell>
          <cell r="BI194" t="str">
            <v>--</v>
          </cell>
          <cell r="BJ194" t="str">
            <v>--</v>
          </cell>
          <cell r="BK194" t="str">
            <v>--</v>
          </cell>
          <cell r="BL194" t="str">
            <v>--</v>
          </cell>
          <cell r="BM194" t="str">
            <v>--</v>
          </cell>
          <cell r="BN194">
            <v>31</v>
          </cell>
          <cell r="BO194">
            <v>41</v>
          </cell>
          <cell r="BP194">
            <v>37.5</v>
          </cell>
          <cell r="BQ194">
            <v>47.5</v>
          </cell>
          <cell r="BR194">
            <v>39</v>
          </cell>
          <cell r="BS194">
            <v>49</v>
          </cell>
          <cell r="BT194">
            <v>51</v>
          </cell>
          <cell r="BU194">
            <v>51</v>
          </cell>
          <cell r="BV194">
            <v>51</v>
          </cell>
          <cell r="BW194">
            <v>25</v>
          </cell>
          <cell r="BX194">
            <v>35</v>
          </cell>
          <cell r="BY194">
            <v>31</v>
          </cell>
          <cell r="BZ194">
            <v>41</v>
          </cell>
          <cell r="CA194">
            <v>57.5</v>
          </cell>
          <cell r="CB194">
            <v>51</v>
          </cell>
          <cell r="CC194">
            <v>51</v>
          </cell>
          <cell r="CD194">
            <v>51</v>
          </cell>
          <cell r="CE194">
            <v>51</v>
          </cell>
          <cell r="CF194">
            <v>24.8</v>
          </cell>
          <cell r="CG194">
            <v>22.3</v>
          </cell>
          <cell r="CH194">
            <v>28</v>
          </cell>
          <cell r="CI194">
            <v>25.2</v>
          </cell>
          <cell r="CJ194">
            <v>23.1</v>
          </cell>
          <cell r="CK194">
            <v>20.8</v>
          </cell>
          <cell r="CL194">
            <v>18.7</v>
          </cell>
          <cell r="CM194">
            <v>16.8</v>
          </cell>
          <cell r="CN194">
            <v>15.2</v>
          </cell>
          <cell r="CO194">
            <v>55.4</v>
          </cell>
          <cell r="CP194">
            <v>49.9</v>
          </cell>
          <cell r="CQ194">
            <v>56.9</v>
          </cell>
          <cell r="CR194">
            <v>51.2</v>
          </cell>
          <cell r="CS194">
            <v>39.299999999999997</v>
          </cell>
          <cell r="CT194">
            <v>35.4</v>
          </cell>
          <cell r="CU194">
            <v>31.8</v>
          </cell>
          <cell r="CV194">
            <v>28.6</v>
          </cell>
          <cell r="CW194">
            <v>25.8</v>
          </cell>
          <cell r="CX194">
            <v>71.599999999999994</v>
          </cell>
          <cell r="CY194">
            <v>64.400000000000006</v>
          </cell>
          <cell r="CZ194">
            <v>48.4</v>
          </cell>
          <cell r="DA194">
            <v>43.6</v>
          </cell>
          <cell r="DB194">
            <v>47.8</v>
          </cell>
          <cell r="DC194">
            <v>43</v>
          </cell>
          <cell r="DD194">
            <v>38.700000000000003</v>
          </cell>
          <cell r="DE194">
            <v>34.799999999999997</v>
          </cell>
          <cell r="DF194">
            <v>31.4</v>
          </cell>
          <cell r="DG194">
            <v>0.4</v>
          </cell>
          <cell r="DH194">
            <v>0.4</v>
          </cell>
          <cell r="DI194">
            <v>1.1000000000000001</v>
          </cell>
          <cell r="DJ194">
            <v>1.2</v>
          </cell>
          <cell r="DK194">
            <v>1</v>
          </cell>
          <cell r="DL194">
            <v>1.1000000000000001</v>
          </cell>
          <cell r="DM194">
            <v>1.2</v>
          </cell>
          <cell r="DN194">
            <v>1.3</v>
          </cell>
          <cell r="DO194">
            <v>1.5</v>
          </cell>
          <cell r="DP194">
            <v>2.1</v>
          </cell>
          <cell r="DQ194">
            <v>2.2999999999999998</v>
          </cell>
          <cell r="DR194">
            <v>1.5</v>
          </cell>
          <cell r="DS194">
            <v>1.7</v>
          </cell>
          <cell r="DT194">
            <v>8.6999999999999993</v>
          </cell>
          <cell r="DU194">
            <v>9.6</v>
          </cell>
          <cell r="DV194">
            <v>10.5</v>
          </cell>
          <cell r="DW194">
            <v>11.6</v>
          </cell>
          <cell r="DX194">
            <v>12.7</v>
          </cell>
          <cell r="DY194">
            <v>0</v>
          </cell>
          <cell r="DZ194">
            <v>1</v>
          </cell>
          <cell r="EA194">
            <v>0</v>
          </cell>
          <cell r="EB194">
            <v>1</v>
          </cell>
          <cell r="EC194">
            <v>0</v>
          </cell>
          <cell r="ED194">
            <v>1</v>
          </cell>
          <cell r="EE194">
            <v>1.1000000000000001</v>
          </cell>
          <cell r="EF194">
            <v>1.2</v>
          </cell>
          <cell r="EG194">
            <v>1.3</v>
          </cell>
        </row>
        <row r="195">
          <cell r="A195" t="str">
            <v>01490530Asian</v>
          </cell>
          <cell r="B195" t="str">
            <v>01490530A</v>
          </cell>
          <cell r="C195" t="str">
            <v>0149</v>
          </cell>
          <cell r="D195" t="str">
            <v>01490530</v>
          </cell>
          <cell r="E195" t="str">
            <v>Lawrence</v>
          </cell>
          <cell r="F195" t="str">
            <v>Business Management &amp; Finance High School</v>
          </cell>
          <cell r="G195" t="str">
            <v>HS</v>
          </cell>
          <cell r="H195" t="str">
            <v>Lawrence - Business Management &amp; Finance High School (01490530)</v>
          </cell>
          <cell r="I195" t="str">
            <v>Asian</v>
          </cell>
          <cell r="J195" t="str">
            <v>01490530Asian</v>
          </cell>
          <cell r="K195" t="str">
            <v>--</v>
          </cell>
          <cell r="L195" t="str">
            <v>--</v>
          </cell>
          <cell r="M195" t="str">
            <v>--</v>
          </cell>
          <cell r="N195" t="str">
            <v>--</v>
          </cell>
          <cell r="O195" t="str">
            <v>--</v>
          </cell>
          <cell r="P195" t="str">
            <v>--</v>
          </cell>
          <cell r="Q195" t="str">
            <v>--</v>
          </cell>
          <cell r="R195" t="str">
            <v>--</v>
          </cell>
          <cell r="S195" t="str">
            <v>--</v>
          </cell>
          <cell r="T195" t="str">
            <v>--</v>
          </cell>
          <cell r="U195" t="str">
            <v>--</v>
          </cell>
          <cell r="V195" t="str">
            <v>--</v>
          </cell>
          <cell r="W195" t="str">
            <v>--</v>
          </cell>
          <cell r="X195" t="str">
            <v>--</v>
          </cell>
          <cell r="Y195" t="str">
            <v>--</v>
          </cell>
          <cell r="Z195" t="str">
            <v>--</v>
          </cell>
          <cell r="AA195" t="str">
            <v>--</v>
          </cell>
          <cell r="AB195" t="str">
            <v>--</v>
          </cell>
          <cell r="AC195" t="str">
            <v>--</v>
          </cell>
          <cell r="AD195" t="str">
            <v>--</v>
          </cell>
          <cell r="AE195" t="str">
            <v>--</v>
          </cell>
          <cell r="AF195" t="str">
            <v>--</v>
          </cell>
          <cell r="AG195" t="str">
            <v>--</v>
          </cell>
          <cell r="AH195" t="str">
            <v>--</v>
          </cell>
          <cell r="AI195" t="str">
            <v>--</v>
          </cell>
          <cell r="AJ195" t="str">
            <v>--</v>
          </cell>
          <cell r="AK195" t="str">
            <v>--</v>
          </cell>
          <cell r="AL195" t="str">
            <v>--</v>
          </cell>
          <cell r="AM195" t="str">
            <v>--</v>
          </cell>
          <cell r="AN195" t="str">
            <v>--</v>
          </cell>
          <cell r="AO195" t="str">
            <v>--</v>
          </cell>
          <cell r="AP195" t="str">
            <v>--</v>
          </cell>
          <cell r="AQ195" t="str">
            <v>--</v>
          </cell>
          <cell r="AR195" t="str">
            <v>--</v>
          </cell>
          <cell r="AS195" t="str">
            <v>--</v>
          </cell>
          <cell r="AT195" t="str">
            <v>--</v>
          </cell>
          <cell r="AU195" t="str">
            <v>--</v>
          </cell>
          <cell r="AV195" t="str">
            <v>--</v>
          </cell>
          <cell r="AW195" t="str">
            <v>--</v>
          </cell>
          <cell r="AX195" t="str">
            <v>--</v>
          </cell>
          <cell r="AY195" t="str">
            <v>--</v>
          </cell>
          <cell r="AZ195" t="str">
            <v>--</v>
          </cell>
          <cell r="BA195" t="str">
            <v>--</v>
          </cell>
          <cell r="BB195" t="str">
            <v>--</v>
          </cell>
          <cell r="BC195" t="str">
            <v>--</v>
          </cell>
          <cell r="BD195" t="str">
            <v>--</v>
          </cell>
          <cell r="BE195" t="str">
            <v>--</v>
          </cell>
          <cell r="BF195" t="str">
            <v>--</v>
          </cell>
          <cell r="BG195" t="str">
            <v>--</v>
          </cell>
          <cell r="BH195" t="str">
            <v>--</v>
          </cell>
          <cell r="BI195" t="str">
            <v>--</v>
          </cell>
          <cell r="BJ195" t="str">
            <v>--</v>
          </cell>
          <cell r="BK195" t="str">
            <v>--</v>
          </cell>
          <cell r="BL195" t="str">
            <v>--</v>
          </cell>
          <cell r="BM195" t="str">
            <v>--</v>
          </cell>
          <cell r="BN195" t="str">
            <v>--</v>
          </cell>
          <cell r="BO195" t="str">
            <v>--</v>
          </cell>
          <cell r="BP195" t="str">
            <v>--</v>
          </cell>
          <cell r="BQ195" t="str">
            <v>--</v>
          </cell>
          <cell r="BR195" t="str">
            <v>--</v>
          </cell>
          <cell r="BS195" t="str">
            <v>--</v>
          </cell>
          <cell r="BT195" t="str">
            <v>--</v>
          </cell>
          <cell r="BU195" t="str">
            <v>--</v>
          </cell>
          <cell r="BV195" t="str">
            <v>--</v>
          </cell>
          <cell r="BW195" t="str">
            <v>--</v>
          </cell>
          <cell r="BX195" t="str">
            <v>--</v>
          </cell>
          <cell r="BY195" t="str">
            <v>--</v>
          </cell>
          <cell r="BZ195" t="str">
            <v>--</v>
          </cell>
          <cell r="CA195" t="str">
            <v>--</v>
          </cell>
          <cell r="CB195" t="str">
            <v>--</v>
          </cell>
          <cell r="CC195" t="str">
            <v>--</v>
          </cell>
          <cell r="CD195" t="str">
            <v>--</v>
          </cell>
          <cell r="CE195" t="str">
            <v>--</v>
          </cell>
          <cell r="CF195" t="str">
            <v>--</v>
          </cell>
          <cell r="CG195" t="str">
            <v>--</v>
          </cell>
          <cell r="CH195" t="str">
            <v>--</v>
          </cell>
          <cell r="CI195" t="str">
            <v>--</v>
          </cell>
          <cell r="CJ195" t="str">
            <v>--</v>
          </cell>
          <cell r="CK195" t="str">
            <v>--</v>
          </cell>
          <cell r="CL195" t="str">
            <v>--</v>
          </cell>
          <cell r="CM195" t="str">
            <v>--</v>
          </cell>
          <cell r="CN195" t="str">
            <v>--</v>
          </cell>
          <cell r="CO195" t="str">
            <v>--</v>
          </cell>
          <cell r="CP195" t="str">
            <v>--</v>
          </cell>
          <cell r="CQ195" t="str">
            <v>--</v>
          </cell>
          <cell r="CR195" t="str">
            <v>--</v>
          </cell>
          <cell r="CS195" t="str">
            <v>--</v>
          </cell>
          <cell r="CT195" t="str">
            <v>--</v>
          </cell>
          <cell r="CU195" t="str">
            <v>--</v>
          </cell>
          <cell r="CV195" t="str">
            <v>--</v>
          </cell>
          <cell r="CW195" t="str">
            <v>--</v>
          </cell>
          <cell r="CX195" t="str">
            <v>--</v>
          </cell>
          <cell r="CY195" t="str">
            <v>--</v>
          </cell>
          <cell r="CZ195" t="str">
            <v>--</v>
          </cell>
          <cell r="DA195" t="str">
            <v>--</v>
          </cell>
          <cell r="DB195" t="str">
            <v>--</v>
          </cell>
          <cell r="DC195" t="str">
            <v>--</v>
          </cell>
          <cell r="DD195" t="str">
            <v>--</v>
          </cell>
          <cell r="DE195" t="str">
            <v>--</v>
          </cell>
          <cell r="DF195" t="str">
            <v>--</v>
          </cell>
          <cell r="DG195" t="str">
            <v>--</v>
          </cell>
          <cell r="DH195" t="str">
            <v>--</v>
          </cell>
          <cell r="DI195" t="str">
            <v>--</v>
          </cell>
          <cell r="DJ195" t="str">
            <v>--</v>
          </cell>
          <cell r="DK195" t="str">
            <v>--</v>
          </cell>
          <cell r="DL195" t="str">
            <v>--</v>
          </cell>
          <cell r="DM195" t="str">
            <v>--</v>
          </cell>
          <cell r="DN195" t="str">
            <v>--</v>
          </cell>
          <cell r="DO195" t="str">
            <v>--</v>
          </cell>
          <cell r="DP195" t="str">
            <v>--</v>
          </cell>
          <cell r="DQ195" t="str">
            <v>--</v>
          </cell>
          <cell r="DR195" t="str">
            <v>--</v>
          </cell>
          <cell r="DS195" t="str">
            <v>--</v>
          </cell>
          <cell r="DT195" t="str">
            <v>--</v>
          </cell>
          <cell r="DU195" t="str">
            <v>--</v>
          </cell>
          <cell r="DV195" t="str">
            <v>--</v>
          </cell>
          <cell r="DW195" t="str">
            <v>--</v>
          </cell>
          <cell r="DX195" t="str">
            <v>--</v>
          </cell>
          <cell r="DY195" t="str">
            <v>--</v>
          </cell>
          <cell r="DZ195" t="str">
            <v>--</v>
          </cell>
          <cell r="EA195" t="str">
            <v>--</v>
          </cell>
          <cell r="EB195" t="str">
            <v>--</v>
          </cell>
          <cell r="EC195" t="str">
            <v>--</v>
          </cell>
          <cell r="ED195" t="str">
            <v>--</v>
          </cell>
          <cell r="EE195" t="str">
            <v>--</v>
          </cell>
          <cell r="EF195" t="str">
            <v>--</v>
          </cell>
          <cell r="EG195" t="str">
            <v>--</v>
          </cell>
        </row>
        <row r="196">
          <cell r="A196" t="str">
            <v>01490530Afr. Amer/Black</v>
          </cell>
          <cell r="B196" t="str">
            <v>01490530B</v>
          </cell>
          <cell r="C196" t="str">
            <v>0149</v>
          </cell>
          <cell r="D196" t="str">
            <v>01490530</v>
          </cell>
          <cell r="E196" t="str">
            <v>Lawrence</v>
          </cell>
          <cell r="F196" t="str">
            <v>Business Management &amp; Finance High School</v>
          </cell>
          <cell r="G196" t="str">
            <v>HS</v>
          </cell>
          <cell r="H196" t="str">
            <v>Lawrence - Business Management &amp; Finance High School (01490530)</v>
          </cell>
          <cell r="I196" t="str">
            <v>Afr. Amer/Black</v>
          </cell>
          <cell r="J196" t="str">
            <v>01490530Afr. Amer/Black</v>
          </cell>
          <cell r="K196" t="str">
            <v>--</v>
          </cell>
          <cell r="L196" t="str">
            <v>--</v>
          </cell>
          <cell r="M196" t="str">
            <v>--</v>
          </cell>
          <cell r="N196" t="str">
            <v>--</v>
          </cell>
          <cell r="O196" t="str">
            <v>--</v>
          </cell>
          <cell r="P196" t="str">
            <v>--</v>
          </cell>
          <cell r="Q196" t="str">
            <v>--</v>
          </cell>
          <cell r="R196" t="str">
            <v>--</v>
          </cell>
          <cell r="S196" t="str">
            <v>--</v>
          </cell>
          <cell r="T196" t="str">
            <v>--</v>
          </cell>
          <cell r="U196" t="str">
            <v>--</v>
          </cell>
          <cell r="V196" t="str">
            <v>--</v>
          </cell>
          <cell r="W196" t="str">
            <v>--</v>
          </cell>
          <cell r="X196" t="str">
            <v>--</v>
          </cell>
          <cell r="Y196" t="str">
            <v>--</v>
          </cell>
          <cell r="Z196" t="str">
            <v>--</v>
          </cell>
          <cell r="AA196" t="str">
            <v>--</v>
          </cell>
          <cell r="AB196" t="str">
            <v>--</v>
          </cell>
          <cell r="AC196" t="str">
            <v>--</v>
          </cell>
          <cell r="AD196" t="str">
            <v>--</v>
          </cell>
          <cell r="AE196" t="str">
            <v>--</v>
          </cell>
          <cell r="AF196" t="str">
            <v>--</v>
          </cell>
          <cell r="AG196" t="str">
            <v>--</v>
          </cell>
          <cell r="AH196" t="str">
            <v>--</v>
          </cell>
          <cell r="AI196" t="str">
            <v>--</v>
          </cell>
          <cell r="AJ196" t="str">
            <v>--</v>
          </cell>
          <cell r="AK196" t="str">
            <v>--</v>
          </cell>
          <cell r="AL196" t="str">
            <v>--</v>
          </cell>
          <cell r="AM196" t="str">
            <v>--</v>
          </cell>
          <cell r="AN196" t="str">
            <v>--</v>
          </cell>
          <cell r="AO196" t="str">
            <v>--</v>
          </cell>
          <cell r="AP196" t="str">
            <v>--</v>
          </cell>
          <cell r="AQ196" t="str">
            <v>--</v>
          </cell>
          <cell r="AR196" t="str">
            <v>--</v>
          </cell>
          <cell r="AS196" t="str">
            <v>--</v>
          </cell>
          <cell r="AT196" t="str">
            <v>--</v>
          </cell>
          <cell r="AU196" t="str">
            <v>--</v>
          </cell>
          <cell r="AV196" t="str">
            <v>--</v>
          </cell>
          <cell r="AW196" t="str">
            <v>--</v>
          </cell>
          <cell r="AX196" t="str">
            <v>--</v>
          </cell>
          <cell r="AY196" t="str">
            <v>--</v>
          </cell>
          <cell r="AZ196" t="str">
            <v>--</v>
          </cell>
          <cell r="BA196" t="str">
            <v>--</v>
          </cell>
          <cell r="BB196" t="str">
            <v>--</v>
          </cell>
          <cell r="BC196" t="str">
            <v>--</v>
          </cell>
          <cell r="BD196" t="str">
            <v>--</v>
          </cell>
          <cell r="BE196" t="str">
            <v>--</v>
          </cell>
          <cell r="BF196" t="str">
            <v>--</v>
          </cell>
          <cell r="BG196" t="str">
            <v>--</v>
          </cell>
          <cell r="BH196" t="str">
            <v>--</v>
          </cell>
          <cell r="BI196" t="str">
            <v>--</v>
          </cell>
          <cell r="BJ196" t="str">
            <v>--</v>
          </cell>
          <cell r="BK196" t="str">
            <v>--</v>
          </cell>
          <cell r="BL196" t="str">
            <v>--</v>
          </cell>
          <cell r="BM196" t="str">
            <v>--</v>
          </cell>
          <cell r="BN196" t="str">
            <v>--</v>
          </cell>
          <cell r="BO196" t="str">
            <v>--</v>
          </cell>
          <cell r="BP196" t="str">
            <v>--</v>
          </cell>
          <cell r="BQ196" t="str">
            <v>--</v>
          </cell>
          <cell r="BR196" t="str">
            <v>--</v>
          </cell>
          <cell r="BS196" t="str">
            <v>--</v>
          </cell>
          <cell r="BT196" t="str">
            <v>--</v>
          </cell>
          <cell r="BU196" t="str">
            <v>--</v>
          </cell>
          <cell r="BV196" t="str">
            <v>--</v>
          </cell>
          <cell r="BW196" t="str">
            <v>--</v>
          </cell>
          <cell r="BX196" t="str">
            <v>--</v>
          </cell>
          <cell r="BY196" t="str">
            <v>--</v>
          </cell>
          <cell r="BZ196" t="str">
            <v>--</v>
          </cell>
          <cell r="CA196" t="str">
            <v>--</v>
          </cell>
          <cell r="CB196" t="str">
            <v>--</v>
          </cell>
          <cell r="CC196" t="str">
            <v>--</v>
          </cell>
          <cell r="CD196" t="str">
            <v>--</v>
          </cell>
          <cell r="CE196" t="str">
            <v>--</v>
          </cell>
          <cell r="CF196" t="str">
            <v>--</v>
          </cell>
          <cell r="CG196" t="str">
            <v>--</v>
          </cell>
          <cell r="CH196" t="str">
            <v>--</v>
          </cell>
          <cell r="CI196" t="str">
            <v>--</v>
          </cell>
          <cell r="CJ196" t="str">
            <v>--</v>
          </cell>
          <cell r="CK196" t="str">
            <v>--</v>
          </cell>
          <cell r="CL196" t="str">
            <v>--</v>
          </cell>
          <cell r="CM196" t="str">
            <v>--</v>
          </cell>
          <cell r="CN196" t="str">
            <v>--</v>
          </cell>
          <cell r="CO196" t="str">
            <v>--</v>
          </cell>
          <cell r="CP196" t="str">
            <v>--</v>
          </cell>
          <cell r="CQ196" t="str">
            <v>--</v>
          </cell>
          <cell r="CR196" t="str">
            <v>--</v>
          </cell>
          <cell r="CS196" t="str">
            <v>--</v>
          </cell>
          <cell r="CT196" t="str">
            <v>--</v>
          </cell>
          <cell r="CU196" t="str">
            <v>--</v>
          </cell>
          <cell r="CV196" t="str">
            <v>--</v>
          </cell>
          <cell r="CW196" t="str">
            <v>--</v>
          </cell>
          <cell r="CX196" t="str">
            <v>--</v>
          </cell>
          <cell r="CY196" t="str">
            <v>--</v>
          </cell>
          <cell r="CZ196" t="str">
            <v>--</v>
          </cell>
          <cell r="DA196" t="str">
            <v>--</v>
          </cell>
          <cell r="DB196" t="str">
            <v>--</v>
          </cell>
          <cell r="DC196" t="str">
            <v>--</v>
          </cell>
          <cell r="DD196" t="str">
            <v>--</v>
          </cell>
          <cell r="DE196" t="str">
            <v>--</v>
          </cell>
          <cell r="DF196" t="str">
            <v>--</v>
          </cell>
          <cell r="DG196" t="str">
            <v>--</v>
          </cell>
          <cell r="DH196" t="str">
            <v>--</v>
          </cell>
          <cell r="DI196" t="str">
            <v>--</v>
          </cell>
          <cell r="DJ196" t="str">
            <v>--</v>
          </cell>
          <cell r="DK196" t="str">
            <v>--</v>
          </cell>
          <cell r="DL196" t="str">
            <v>--</v>
          </cell>
          <cell r="DM196" t="str">
            <v>--</v>
          </cell>
          <cell r="DN196" t="str">
            <v>--</v>
          </cell>
          <cell r="DO196" t="str">
            <v>--</v>
          </cell>
          <cell r="DP196" t="str">
            <v>--</v>
          </cell>
          <cell r="DQ196" t="str">
            <v>--</v>
          </cell>
          <cell r="DR196" t="str">
            <v>--</v>
          </cell>
          <cell r="DS196" t="str">
            <v>--</v>
          </cell>
          <cell r="DT196" t="str">
            <v>--</v>
          </cell>
          <cell r="DU196" t="str">
            <v>--</v>
          </cell>
          <cell r="DV196" t="str">
            <v>--</v>
          </cell>
          <cell r="DW196" t="str">
            <v>--</v>
          </cell>
          <cell r="DX196" t="str">
            <v>--</v>
          </cell>
          <cell r="DY196" t="str">
            <v>--</v>
          </cell>
          <cell r="DZ196" t="str">
            <v>--</v>
          </cell>
          <cell r="EA196" t="str">
            <v>--</v>
          </cell>
          <cell r="EB196" t="str">
            <v>--</v>
          </cell>
          <cell r="EC196" t="str">
            <v>--</v>
          </cell>
          <cell r="ED196" t="str">
            <v>--</v>
          </cell>
          <cell r="EE196" t="str">
            <v>--</v>
          </cell>
          <cell r="EF196" t="str">
            <v>--</v>
          </cell>
          <cell r="EG196" t="str">
            <v>--</v>
          </cell>
        </row>
        <row r="197">
          <cell r="A197" t="str">
            <v>01490530White</v>
          </cell>
          <cell r="B197" t="str">
            <v>01490530C</v>
          </cell>
          <cell r="C197" t="str">
            <v>0149</v>
          </cell>
          <cell r="D197" t="str">
            <v>01490530</v>
          </cell>
          <cell r="E197" t="str">
            <v>Lawrence</v>
          </cell>
          <cell r="F197" t="str">
            <v>Business Management &amp; Finance High School</v>
          </cell>
          <cell r="G197" t="str">
            <v>HS</v>
          </cell>
          <cell r="H197" t="str">
            <v>Lawrence - Business Management &amp; Finance High School (01490530)</v>
          </cell>
          <cell r="I197" t="str">
            <v>White</v>
          </cell>
          <cell r="J197" t="str">
            <v>01490530White</v>
          </cell>
          <cell r="K197" t="str">
            <v>--</v>
          </cell>
          <cell r="L197" t="str">
            <v>--</v>
          </cell>
          <cell r="M197" t="str">
            <v>--</v>
          </cell>
          <cell r="N197" t="str">
            <v>--</v>
          </cell>
          <cell r="O197" t="str">
            <v>--</v>
          </cell>
          <cell r="P197" t="str">
            <v>--</v>
          </cell>
          <cell r="Q197" t="str">
            <v>--</v>
          </cell>
          <cell r="R197" t="str">
            <v>--</v>
          </cell>
          <cell r="S197" t="str">
            <v>--</v>
          </cell>
          <cell r="T197" t="str">
            <v>--</v>
          </cell>
          <cell r="U197" t="str">
            <v>--</v>
          </cell>
          <cell r="V197" t="str">
            <v>--</v>
          </cell>
          <cell r="W197" t="str">
            <v>--</v>
          </cell>
          <cell r="X197" t="str">
            <v>--</v>
          </cell>
          <cell r="Y197" t="str">
            <v>--</v>
          </cell>
          <cell r="Z197" t="str">
            <v>--</v>
          </cell>
          <cell r="AA197" t="str">
            <v>--</v>
          </cell>
          <cell r="AB197" t="str">
            <v>--</v>
          </cell>
          <cell r="AC197" t="str">
            <v>--</v>
          </cell>
          <cell r="AD197" t="str">
            <v>--</v>
          </cell>
          <cell r="AE197" t="str">
            <v>--</v>
          </cell>
          <cell r="AF197" t="str">
            <v>--</v>
          </cell>
          <cell r="AG197" t="str">
            <v>--</v>
          </cell>
          <cell r="AH197" t="str">
            <v>--</v>
          </cell>
          <cell r="AI197" t="str">
            <v>--</v>
          </cell>
          <cell r="AJ197" t="str">
            <v>--</v>
          </cell>
          <cell r="AK197" t="str">
            <v>--</v>
          </cell>
          <cell r="AL197" t="str">
            <v>--</v>
          </cell>
          <cell r="AM197" t="str">
            <v>--</v>
          </cell>
          <cell r="AN197" t="str">
            <v>--</v>
          </cell>
          <cell r="AO197" t="str">
            <v>--</v>
          </cell>
          <cell r="AP197" t="str">
            <v>--</v>
          </cell>
          <cell r="AQ197" t="str">
            <v>--</v>
          </cell>
          <cell r="AR197" t="str">
            <v>--</v>
          </cell>
          <cell r="AS197" t="str">
            <v>--</v>
          </cell>
          <cell r="AT197" t="str">
            <v>--</v>
          </cell>
          <cell r="AU197" t="str">
            <v>--</v>
          </cell>
          <cell r="AV197" t="str">
            <v>--</v>
          </cell>
          <cell r="AW197" t="str">
            <v>--</v>
          </cell>
          <cell r="AX197" t="str">
            <v>--</v>
          </cell>
          <cell r="AY197" t="str">
            <v>--</v>
          </cell>
          <cell r="AZ197" t="str">
            <v>--</v>
          </cell>
          <cell r="BA197" t="str">
            <v>--</v>
          </cell>
          <cell r="BB197" t="str">
            <v>--</v>
          </cell>
          <cell r="BC197" t="str">
            <v>--</v>
          </cell>
          <cell r="BD197" t="str">
            <v>--</v>
          </cell>
          <cell r="BE197">
            <v>5.9</v>
          </cell>
          <cell r="BF197" t="str">
            <v>--</v>
          </cell>
          <cell r="BG197">
            <v>14.3</v>
          </cell>
          <cell r="BH197" t="str">
            <v>--</v>
          </cell>
          <cell r="BI197">
            <v>5.9</v>
          </cell>
          <cell r="BJ197">
            <v>5.4</v>
          </cell>
          <cell r="BK197">
            <v>4.9000000000000004</v>
          </cell>
          <cell r="BL197">
            <v>4.4000000000000004</v>
          </cell>
          <cell r="BM197">
            <v>3.9</v>
          </cell>
          <cell r="BN197" t="str">
            <v>--</v>
          </cell>
          <cell r="BO197" t="str">
            <v>--</v>
          </cell>
          <cell r="BP197" t="str">
            <v>--</v>
          </cell>
          <cell r="BQ197" t="str">
            <v>--</v>
          </cell>
          <cell r="BR197" t="str">
            <v>--</v>
          </cell>
          <cell r="BS197" t="str">
            <v>--</v>
          </cell>
          <cell r="BT197" t="str">
            <v>--</v>
          </cell>
          <cell r="BU197" t="str">
            <v>--</v>
          </cell>
          <cell r="BV197" t="str">
            <v>--</v>
          </cell>
          <cell r="BW197" t="str">
            <v>--</v>
          </cell>
          <cell r="BX197" t="str">
            <v>--</v>
          </cell>
          <cell r="BY197" t="str">
            <v>--</v>
          </cell>
          <cell r="BZ197" t="str">
            <v>--</v>
          </cell>
          <cell r="CA197" t="str">
            <v>--</v>
          </cell>
          <cell r="CB197" t="str">
            <v>--</v>
          </cell>
          <cell r="CC197" t="str">
            <v>--</v>
          </cell>
          <cell r="CD197" t="str">
            <v>--</v>
          </cell>
          <cell r="CE197" t="str">
            <v>--</v>
          </cell>
          <cell r="CF197" t="str">
            <v>--</v>
          </cell>
          <cell r="CG197" t="str">
            <v>--</v>
          </cell>
          <cell r="CH197" t="str">
            <v>--</v>
          </cell>
          <cell r="CI197" t="str">
            <v>--</v>
          </cell>
          <cell r="CJ197" t="str">
            <v>--</v>
          </cell>
          <cell r="CK197" t="str">
            <v>--</v>
          </cell>
          <cell r="CL197" t="str">
            <v>--</v>
          </cell>
          <cell r="CM197" t="str">
            <v>--</v>
          </cell>
          <cell r="CN197" t="str">
            <v>--</v>
          </cell>
          <cell r="CO197" t="str">
            <v>--</v>
          </cell>
          <cell r="CP197" t="str">
            <v>--</v>
          </cell>
          <cell r="CQ197" t="str">
            <v>--</v>
          </cell>
          <cell r="CR197" t="str">
            <v>--</v>
          </cell>
          <cell r="CS197" t="str">
            <v>--</v>
          </cell>
          <cell r="CT197" t="str">
            <v>--</v>
          </cell>
          <cell r="CU197" t="str">
            <v>--</v>
          </cell>
          <cell r="CV197" t="str">
            <v>--</v>
          </cell>
          <cell r="CW197" t="str">
            <v>--</v>
          </cell>
          <cell r="CX197" t="str">
            <v>--</v>
          </cell>
          <cell r="CY197" t="str">
            <v>--</v>
          </cell>
          <cell r="CZ197" t="str">
            <v>--</v>
          </cell>
          <cell r="DA197" t="str">
            <v>--</v>
          </cell>
          <cell r="DB197" t="str">
            <v>--</v>
          </cell>
          <cell r="DC197" t="str">
            <v>--</v>
          </cell>
          <cell r="DD197" t="str">
            <v>--</v>
          </cell>
          <cell r="DE197" t="str">
            <v>--</v>
          </cell>
          <cell r="DF197" t="str">
            <v>--</v>
          </cell>
          <cell r="DG197" t="str">
            <v>--</v>
          </cell>
          <cell r="DH197" t="str">
            <v>--</v>
          </cell>
          <cell r="DI197" t="str">
            <v>--</v>
          </cell>
          <cell r="DJ197" t="str">
            <v>--</v>
          </cell>
          <cell r="DK197" t="str">
            <v>--</v>
          </cell>
          <cell r="DL197" t="str">
            <v>--</v>
          </cell>
          <cell r="DM197" t="str">
            <v>--</v>
          </cell>
          <cell r="DN197" t="str">
            <v>--</v>
          </cell>
          <cell r="DO197" t="str">
            <v>--</v>
          </cell>
          <cell r="DP197" t="str">
            <v>--</v>
          </cell>
          <cell r="DQ197" t="str">
            <v>--</v>
          </cell>
          <cell r="DR197" t="str">
            <v>--</v>
          </cell>
          <cell r="DS197" t="str">
            <v>--</v>
          </cell>
          <cell r="DT197" t="str">
            <v>--</v>
          </cell>
          <cell r="DU197" t="str">
            <v>--</v>
          </cell>
          <cell r="DV197" t="str">
            <v>--</v>
          </cell>
          <cell r="DW197" t="str">
            <v>--</v>
          </cell>
          <cell r="DX197" t="str">
            <v>--</v>
          </cell>
          <cell r="DY197" t="str">
            <v>--</v>
          </cell>
          <cell r="DZ197" t="str">
            <v>--</v>
          </cell>
          <cell r="EA197" t="str">
            <v>--</v>
          </cell>
          <cell r="EB197" t="str">
            <v>--</v>
          </cell>
          <cell r="EC197" t="str">
            <v>--</v>
          </cell>
          <cell r="ED197" t="str">
            <v>--</v>
          </cell>
          <cell r="EE197" t="str">
            <v>--</v>
          </cell>
          <cell r="EF197" t="str">
            <v>--</v>
          </cell>
          <cell r="EG197" t="str">
            <v>--</v>
          </cell>
        </row>
        <row r="198">
          <cell r="A198" t="str">
            <v>01490530Students w/disabilities</v>
          </cell>
          <cell r="B198" t="str">
            <v>01490530D</v>
          </cell>
          <cell r="C198" t="str">
            <v>0149</v>
          </cell>
          <cell r="D198" t="str">
            <v>01490530</v>
          </cell>
          <cell r="E198" t="str">
            <v>Lawrence</v>
          </cell>
          <cell r="F198" t="str">
            <v>Business Management &amp; Finance High School</v>
          </cell>
          <cell r="G198" t="str">
            <v>HS</v>
          </cell>
          <cell r="H198" t="str">
            <v>Lawrence - Business Management &amp; Finance High School (01490530)</v>
          </cell>
          <cell r="I198" t="str">
            <v>Students w/disabilities</v>
          </cell>
          <cell r="J198" t="str">
            <v>01490530Students w/disabilities</v>
          </cell>
          <cell r="K198" t="str">
            <v>--</v>
          </cell>
          <cell r="L198" t="str">
            <v>--</v>
          </cell>
          <cell r="M198" t="str">
            <v>--</v>
          </cell>
          <cell r="N198" t="str">
            <v>--</v>
          </cell>
          <cell r="O198" t="str">
            <v>--</v>
          </cell>
          <cell r="P198" t="str">
            <v>--</v>
          </cell>
          <cell r="Q198" t="str">
            <v>--</v>
          </cell>
          <cell r="R198" t="str">
            <v>--</v>
          </cell>
          <cell r="S198" t="str">
            <v>--</v>
          </cell>
          <cell r="T198" t="str">
            <v>--</v>
          </cell>
          <cell r="U198" t="str">
            <v>--</v>
          </cell>
          <cell r="V198" t="str">
            <v>--</v>
          </cell>
          <cell r="W198" t="str">
            <v>--</v>
          </cell>
          <cell r="X198" t="str">
            <v>--</v>
          </cell>
          <cell r="Y198" t="str">
            <v>--</v>
          </cell>
          <cell r="Z198" t="str">
            <v>--</v>
          </cell>
          <cell r="AA198" t="str">
            <v>--</v>
          </cell>
          <cell r="AB198" t="str">
            <v>--</v>
          </cell>
          <cell r="AC198" t="str">
            <v>--</v>
          </cell>
          <cell r="AD198">
            <v>36.299999999999997</v>
          </cell>
          <cell r="AE198">
            <v>41.6</v>
          </cell>
          <cell r="AF198">
            <v>42.4</v>
          </cell>
          <cell r="AG198">
            <v>46.9</v>
          </cell>
          <cell r="AH198">
            <v>60.7</v>
          </cell>
          <cell r="AI198">
            <v>52.2</v>
          </cell>
          <cell r="AJ198">
            <v>57.5</v>
          </cell>
          <cell r="AK198">
            <v>62.8</v>
          </cell>
          <cell r="AL198">
            <v>68.2</v>
          </cell>
          <cell r="AM198" t="str">
            <v>--</v>
          </cell>
          <cell r="AN198" t="str">
            <v>--</v>
          </cell>
          <cell r="AO198" t="str">
            <v>--</v>
          </cell>
          <cell r="AP198" t="str">
            <v>--</v>
          </cell>
          <cell r="AQ198" t="str">
            <v>--</v>
          </cell>
          <cell r="AR198" t="str">
            <v>--</v>
          </cell>
          <cell r="AS198" t="str">
            <v>--</v>
          </cell>
          <cell r="AT198" t="str">
            <v>--</v>
          </cell>
          <cell r="AU198" t="str">
            <v>--</v>
          </cell>
          <cell r="AV198" t="str">
            <v>--</v>
          </cell>
          <cell r="AW198" t="str">
            <v>--</v>
          </cell>
          <cell r="AX198" t="str">
            <v>--</v>
          </cell>
          <cell r="AY198" t="str">
            <v>--</v>
          </cell>
          <cell r="AZ198" t="str">
            <v>--</v>
          </cell>
          <cell r="BA198" t="str">
            <v>--</v>
          </cell>
          <cell r="BB198" t="str">
            <v>--</v>
          </cell>
          <cell r="BC198" t="str">
            <v>--</v>
          </cell>
          <cell r="BD198" t="str">
            <v>--</v>
          </cell>
          <cell r="BE198">
            <v>10.8</v>
          </cell>
          <cell r="BF198">
            <v>9.9</v>
          </cell>
          <cell r="BG198">
            <v>9.6</v>
          </cell>
          <cell r="BH198">
            <v>9</v>
          </cell>
          <cell r="BI198">
            <v>8</v>
          </cell>
          <cell r="BJ198">
            <v>8.1</v>
          </cell>
          <cell r="BK198">
            <v>7.2</v>
          </cell>
          <cell r="BL198">
            <v>6.3</v>
          </cell>
          <cell r="BM198">
            <v>5.4</v>
          </cell>
          <cell r="BN198" t="str">
            <v>--</v>
          </cell>
          <cell r="BO198" t="str">
            <v>--</v>
          </cell>
          <cell r="BP198" t="str">
            <v>--</v>
          </cell>
          <cell r="BQ198" t="str">
            <v>--</v>
          </cell>
          <cell r="BR198" t="str">
            <v>--</v>
          </cell>
          <cell r="BS198" t="str">
            <v>--</v>
          </cell>
          <cell r="BT198" t="str">
            <v>--</v>
          </cell>
          <cell r="BU198" t="str">
            <v>--</v>
          </cell>
          <cell r="BV198" t="str">
            <v>--</v>
          </cell>
          <cell r="BW198" t="str">
            <v>--</v>
          </cell>
          <cell r="BX198" t="str">
            <v>--</v>
          </cell>
          <cell r="BY198" t="str">
            <v>--</v>
          </cell>
          <cell r="BZ198" t="str">
            <v>--</v>
          </cell>
          <cell r="CA198" t="str">
            <v>--</v>
          </cell>
          <cell r="CB198" t="str">
            <v>--</v>
          </cell>
          <cell r="CC198" t="str">
            <v>--</v>
          </cell>
          <cell r="CD198" t="str">
            <v>--</v>
          </cell>
          <cell r="CE198" t="str">
            <v>--</v>
          </cell>
          <cell r="CF198" t="str">
            <v>--</v>
          </cell>
          <cell r="CG198" t="str">
            <v>--</v>
          </cell>
          <cell r="CH198" t="str">
            <v>--</v>
          </cell>
          <cell r="CI198" t="str">
            <v>--</v>
          </cell>
          <cell r="CJ198" t="str">
            <v>--</v>
          </cell>
          <cell r="CK198" t="str">
            <v>--</v>
          </cell>
          <cell r="CL198" t="str">
            <v>--</v>
          </cell>
          <cell r="CM198" t="str">
            <v>--</v>
          </cell>
          <cell r="CN198" t="str">
            <v>--</v>
          </cell>
          <cell r="CO198" t="str">
            <v>--</v>
          </cell>
          <cell r="CP198" t="str">
            <v>--</v>
          </cell>
          <cell r="CQ198" t="str">
            <v>--</v>
          </cell>
          <cell r="CR198" t="str">
            <v>--</v>
          </cell>
          <cell r="CS198" t="str">
            <v>--</v>
          </cell>
          <cell r="CT198" t="str">
            <v>--</v>
          </cell>
          <cell r="CU198" t="str">
            <v>--</v>
          </cell>
          <cell r="CV198" t="str">
            <v>--</v>
          </cell>
          <cell r="CW198" t="str">
            <v>--</v>
          </cell>
          <cell r="CX198">
            <v>65</v>
          </cell>
          <cell r="CY198">
            <v>58.5</v>
          </cell>
          <cell r="CZ198">
            <v>47.8</v>
          </cell>
          <cell r="DA198">
            <v>43</v>
          </cell>
          <cell r="DB198">
            <v>14.3</v>
          </cell>
          <cell r="DC198">
            <v>43</v>
          </cell>
          <cell r="DD198">
            <v>38.700000000000003</v>
          </cell>
          <cell r="DE198">
            <v>34.799999999999997</v>
          </cell>
          <cell r="DF198">
            <v>31.4</v>
          </cell>
          <cell r="DG198" t="str">
            <v>--</v>
          </cell>
          <cell r="DH198" t="str">
            <v>--</v>
          </cell>
          <cell r="DI198" t="str">
            <v>--</v>
          </cell>
          <cell r="DJ198" t="str">
            <v>--</v>
          </cell>
          <cell r="DK198" t="str">
            <v>--</v>
          </cell>
          <cell r="DL198" t="str">
            <v>--</v>
          </cell>
          <cell r="DM198" t="str">
            <v>--</v>
          </cell>
          <cell r="DN198" t="str">
            <v>--</v>
          </cell>
          <cell r="DO198" t="str">
            <v>--</v>
          </cell>
          <cell r="DP198" t="str">
            <v>--</v>
          </cell>
          <cell r="DQ198" t="str">
            <v>--</v>
          </cell>
          <cell r="DR198" t="str">
            <v>--</v>
          </cell>
          <cell r="DS198" t="str">
            <v>--</v>
          </cell>
          <cell r="DT198" t="str">
            <v>--</v>
          </cell>
          <cell r="DU198" t="str">
            <v>--</v>
          </cell>
          <cell r="DV198" t="str">
            <v>--</v>
          </cell>
          <cell r="DW198" t="str">
            <v>--</v>
          </cell>
          <cell r="DX198" t="str">
            <v>--</v>
          </cell>
          <cell r="DY198">
            <v>0</v>
          </cell>
          <cell r="DZ198">
            <v>1</v>
          </cell>
          <cell r="EA198">
            <v>0</v>
          </cell>
          <cell r="EB198">
            <v>1</v>
          </cell>
          <cell r="EC198">
            <v>0</v>
          </cell>
          <cell r="ED198">
            <v>1</v>
          </cell>
          <cell r="EE198">
            <v>1.1000000000000001</v>
          </cell>
          <cell r="EF198">
            <v>1.2</v>
          </cell>
          <cell r="EG198">
            <v>1.3</v>
          </cell>
        </row>
        <row r="199">
          <cell r="A199" t="str">
            <v>01490530Low income</v>
          </cell>
          <cell r="B199" t="str">
            <v>01490530F</v>
          </cell>
          <cell r="C199" t="str">
            <v>0149</v>
          </cell>
          <cell r="D199" t="str">
            <v>01490530</v>
          </cell>
          <cell r="E199" t="str">
            <v>Lawrence</v>
          </cell>
          <cell r="F199" t="str">
            <v>Business Management &amp; Finance High School</v>
          </cell>
          <cell r="G199" t="str">
            <v>HS</v>
          </cell>
          <cell r="H199" t="str">
            <v>Lawrence - Business Management &amp; Finance High School (01490530)</v>
          </cell>
          <cell r="I199" t="str">
            <v>Low income</v>
          </cell>
          <cell r="J199" t="str">
            <v>01490530Low income</v>
          </cell>
          <cell r="K199" t="str">
            <v>--</v>
          </cell>
          <cell r="L199">
            <v>71.400000000000006</v>
          </cell>
          <cell r="M199">
            <v>73.8</v>
          </cell>
          <cell r="N199">
            <v>90.6</v>
          </cell>
          <cell r="O199">
            <v>76.2</v>
          </cell>
          <cell r="P199">
            <v>91.8</v>
          </cell>
          <cell r="Q199">
            <v>78.599999999999994</v>
          </cell>
          <cell r="R199">
            <v>80.900000000000006</v>
          </cell>
          <cell r="S199">
            <v>83.3</v>
          </cell>
          <cell r="T199">
            <v>85.7</v>
          </cell>
          <cell r="U199">
            <v>49.7</v>
          </cell>
          <cell r="V199">
            <v>53.9</v>
          </cell>
          <cell r="W199">
            <v>68.599999999999994</v>
          </cell>
          <cell r="X199">
            <v>58.1</v>
          </cell>
          <cell r="Y199">
            <v>81.400000000000006</v>
          </cell>
          <cell r="Z199">
            <v>62.3</v>
          </cell>
          <cell r="AA199">
            <v>66.5</v>
          </cell>
          <cell r="AB199">
            <v>70.7</v>
          </cell>
          <cell r="AC199">
            <v>74.900000000000006</v>
          </cell>
          <cell r="AD199">
            <v>48.4</v>
          </cell>
          <cell r="AE199">
            <v>52.7</v>
          </cell>
          <cell r="AF199">
            <v>56.8</v>
          </cell>
          <cell r="AG199">
            <v>57</v>
          </cell>
          <cell r="AH199">
            <v>63.6</v>
          </cell>
          <cell r="AI199">
            <v>61.3</v>
          </cell>
          <cell r="AJ199">
            <v>65.599999999999994</v>
          </cell>
          <cell r="AK199">
            <v>69.900000000000006</v>
          </cell>
          <cell r="AL199">
            <v>74.2</v>
          </cell>
          <cell r="AM199">
            <v>46.6</v>
          </cell>
          <cell r="AN199">
            <v>49.1</v>
          </cell>
          <cell r="AO199">
            <v>65.8</v>
          </cell>
          <cell r="AP199">
            <v>68.3</v>
          </cell>
          <cell r="AQ199">
            <v>68.8</v>
          </cell>
          <cell r="AR199">
            <v>71.3</v>
          </cell>
          <cell r="AS199">
            <v>73.8</v>
          </cell>
          <cell r="AT199">
            <v>76.3</v>
          </cell>
          <cell r="AU199">
            <v>78.8</v>
          </cell>
          <cell r="AV199">
            <v>62.2</v>
          </cell>
          <cell r="AW199">
            <v>64.7</v>
          </cell>
          <cell r="AX199">
            <v>51.7</v>
          </cell>
          <cell r="AY199">
            <v>54.2</v>
          </cell>
          <cell r="AZ199">
            <v>67.5</v>
          </cell>
          <cell r="BA199">
            <v>70</v>
          </cell>
          <cell r="BB199">
            <v>72.5</v>
          </cell>
          <cell r="BC199">
            <v>75</v>
          </cell>
          <cell r="BD199">
            <v>77.5</v>
          </cell>
          <cell r="BE199">
            <v>9.6999999999999993</v>
          </cell>
          <cell r="BF199">
            <v>8.9</v>
          </cell>
          <cell r="BG199">
            <v>8.5</v>
          </cell>
          <cell r="BH199">
            <v>8.1</v>
          </cell>
          <cell r="BI199">
            <v>5.3</v>
          </cell>
          <cell r="BJ199">
            <v>7.3</v>
          </cell>
          <cell r="BK199">
            <v>6.5</v>
          </cell>
          <cell r="BL199">
            <v>5.7</v>
          </cell>
          <cell r="BM199">
            <v>4.9000000000000004</v>
          </cell>
          <cell r="BN199">
            <v>36</v>
          </cell>
          <cell r="BO199">
            <v>46</v>
          </cell>
          <cell r="BP199">
            <v>42.5</v>
          </cell>
          <cell r="BQ199">
            <v>51</v>
          </cell>
          <cell r="BR199">
            <v>65</v>
          </cell>
          <cell r="BS199">
            <v>51</v>
          </cell>
          <cell r="BT199">
            <v>51</v>
          </cell>
          <cell r="BU199">
            <v>51</v>
          </cell>
          <cell r="BV199">
            <v>51</v>
          </cell>
          <cell r="BW199">
            <v>22</v>
          </cell>
          <cell r="BX199">
            <v>32</v>
          </cell>
          <cell r="BY199">
            <v>22</v>
          </cell>
          <cell r="BZ199">
            <v>32</v>
          </cell>
          <cell r="CA199">
            <v>72.5</v>
          </cell>
          <cell r="CB199">
            <v>51</v>
          </cell>
          <cell r="CC199">
            <v>51</v>
          </cell>
          <cell r="CD199">
            <v>51</v>
          </cell>
          <cell r="CE199">
            <v>51</v>
          </cell>
          <cell r="CF199">
            <v>10</v>
          </cell>
          <cell r="CG199">
            <v>9</v>
          </cell>
          <cell r="CH199">
            <v>1</v>
          </cell>
          <cell r="CI199">
            <v>0.9</v>
          </cell>
          <cell r="CJ199">
            <v>0</v>
          </cell>
          <cell r="CK199">
            <v>0</v>
          </cell>
          <cell r="CL199">
            <v>0</v>
          </cell>
          <cell r="CM199">
            <v>0</v>
          </cell>
          <cell r="CN199">
            <v>0</v>
          </cell>
          <cell r="CO199">
            <v>42.4</v>
          </cell>
          <cell r="CP199">
            <v>38.200000000000003</v>
          </cell>
          <cell r="CQ199">
            <v>22.4</v>
          </cell>
          <cell r="CR199">
            <v>20.2</v>
          </cell>
          <cell r="CS199">
            <v>14.9</v>
          </cell>
          <cell r="CT199">
            <v>13.4</v>
          </cell>
          <cell r="CU199">
            <v>12.1</v>
          </cell>
          <cell r="CV199">
            <v>10.9</v>
          </cell>
          <cell r="CW199">
            <v>9.8000000000000007</v>
          </cell>
          <cell r="CX199">
            <v>35.4</v>
          </cell>
          <cell r="CY199">
            <v>31.9</v>
          </cell>
          <cell r="CZ199">
            <v>18.2</v>
          </cell>
          <cell r="DA199">
            <v>16.399999999999999</v>
          </cell>
          <cell r="DB199">
            <v>16.899999999999999</v>
          </cell>
          <cell r="DC199">
            <v>15.2</v>
          </cell>
          <cell r="DD199">
            <v>13.7</v>
          </cell>
          <cell r="DE199">
            <v>12.3</v>
          </cell>
          <cell r="DF199">
            <v>11.1</v>
          </cell>
          <cell r="DG199">
            <v>4.4000000000000004</v>
          </cell>
          <cell r="DH199">
            <v>4.8</v>
          </cell>
          <cell r="DI199">
            <v>5.2</v>
          </cell>
          <cell r="DJ199">
            <v>5.7</v>
          </cell>
          <cell r="DK199">
            <v>16.399999999999999</v>
          </cell>
          <cell r="DL199">
            <v>18</v>
          </cell>
          <cell r="DM199">
            <v>19.8</v>
          </cell>
          <cell r="DN199">
            <v>21.8</v>
          </cell>
          <cell r="DO199">
            <v>24</v>
          </cell>
          <cell r="DP199">
            <v>5.9</v>
          </cell>
          <cell r="DQ199">
            <v>6.5</v>
          </cell>
          <cell r="DR199">
            <v>9.1999999999999993</v>
          </cell>
          <cell r="DS199">
            <v>10.1</v>
          </cell>
          <cell r="DT199">
            <v>35.1</v>
          </cell>
          <cell r="DU199">
            <v>38.6</v>
          </cell>
          <cell r="DV199">
            <v>42.5</v>
          </cell>
          <cell r="DW199">
            <v>46.7</v>
          </cell>
          <cell r="DX199">
            <v>51.4</v>
          </cell>
          <cell r="DY199">
            <v>1.3</v>
          </cell>
          <cell r="DZ199">
            <v>1.4</v>
          </cell>
          <cell r="EA199">
            <v>0</v>
          </cell>
          <cell r="EB199">
            <v>1</v>
          </cell>
          <cell r="EC199">
            <v>0</v>
          </cell>
          <cell r="ED199">
            <v>1</v>
          </cell>
          <cell r="EE199">
            <v>1.1000000000000001</v>
          </cell>
          <cell r="EF199">
            <v>1.2</v>
          </cell>
          <cell r="EG199">
            <v>1.3</v>
          </cell>
        </row>
        <row r="200">
          <cell r="A200" t="str">
            <v>01490530Hispanic/Latino</v>
          </cell>
          <cell r="B200" t="str">
            <v>01490530H</v>
          </cell>
          <cell r="C200" t="str">
            <v>0149</v>
          </cell>
          <cell r="D200" t="str">
            <v>01490530</v>
          </cell>
          <cell r="E200" t="str">
            <v>Lawrence</v>
          </cell>
          <cell r="F200" t="str">
            <v>Business Management &amp; Finance High School</v>
          </cell>
          <cell r="G200" t="str">
            <v>HS</v>
          </cell>
          <cell r="H200" t="str">
            <v>Lawrence - Business Management &amp; Finance High School (01490530)</v>
          </cell>
          <cell r="I200" t="str">
            <v>Hispanic/Latino</v>
          </cell>
          <cell r="J200" t="str">
            <v>01490530Hispanic/Latino</v>
          </cell>
          <cell r="K200" t="str">
            <v>--</v>
          </cell>
          <cell r="L200">
            <v>71.8</v>
          </cell>
          <cell r="M200">
            <v>74.2</v>
          </cell>
          <cell r="N200">
            <v>89.8</v>
          </cell>
          <cell r="O200">
            <v>76.5</v>
          </cell>
          <cell r="P200">
            <v>89.5</v>
          </cell>
          <cell r="Q200">
            <v>78.900000000000006</v>
          </cell>
          <cell r="R200">
            <v>81.2</v>
          </cell>
          <cell r="S200">
            <v>83.6</v>
          </cell>
          <cell r="T200">
            <v>85.9</v>
          </cell>
          <cell r="U200">
            <v>48.2</v>
          </cell>
          <cell r="V200">
            <v>52.5</v>
          </cell>
          <cell r="W200">
            <v>67.099999999999994</v>
          </cell>
          <cell r="X200">
            <v>56.8</v>
          </cell>
          <cell r="Y200">
            <v>77.900000000000006</v>
          </cell>
          <cell r="Z200">
            <v>61.2</v>
          </cell>
          <cell r="AA200">
            <v>65.5</v>
          </cell>
          <cell r="AB200">
            <v>69.8</v>
          </cell>
          <cell r="AC200">
            <v>74.099999999999994</v>
          </cell>
          <cell r="AD200">
            <v>47.7</v>
          </cell>
          <cell r="AE200">
            <v>52.1</v>
          </cell>
          <cell r="AF200">
            <v>56.6</v>
          </cell>
          <cell r="AG200">
            <v>56.4</v>
          </cell>
          <cell r="AH200">
            <v>61.3</v>
          </cell>
          <cell r="AI200">
            <v>60.8</v>
          </cell>
          <cell r="AJ200">
            <v>65.099999999999994</v>
          </cell>
          <cell r="AK200">
            <v>69.5</v>
          </cell>
          <cell r="AL200">
            <v>73.900000000000006</v>
          </cell>
          <cell r="AM200">
            <v>42.2</v>
          </cell>
          <cell r="AN200">
            <v>44.7</v>
          </cell>
          <cell r="AO200">
            <v>66.099999999999994</v>
          </cell>
          <cell r="AP200">
            <v>68.599999999999994</v>
          </cell>
          <cell r="AQ200">
            <v>68.599999999999994</v>
          </cell>
          <cell r="AR200">
            <v>71.099999999999994</v>
          </cell>
          <cell r="AS200">
            <v>73.599999999999994</v>
          </cell>
          <cell r="AT200">
            <v>76.099999999999994</v>
          </cell>
          <cell r="AU200">
            <v>78.599999999999994</v>
          </cell>
          <cell r="AV200">
            <v>58.9</v>
          </cell>
          <cell r="AW200">
            <v>61.4</v>
          </cell>
          <cell r="AX200">
            <v>46.6</v>
          </cell>
          <cell r="AY200">
            <v>49.1</v>
          </cell>
          <cell r="AZ200">
            <v>67.8</v>
          </cell>
          <cell r="BA200">
            <v>70.3</v>
          </cell>
          <cell r="BB200">
            <v>72.8</v>
          </cell>
          <cell r="BC200">
            <v>75.3</v>
          </cell>
          <cell r="BD200">
            <v>77.8</v>
          </cell>
          <cell r="BE200">
            <v>10.4</v>
          </cell>
          <cell r="BF200">
            <v>9.5</v>
          </cell>
          <cell r="BG200">
            <v>8</v>
          </cell>
          <cell r="BH200">
            <v>8.6999999999999993</v>
          </cell>
          <cell r="BI200">
            <v>5.4</v>
          </cell>
          <cell r="BJ200">
            <v>7.8</v>
          </cell>
          <cell r="BK200">
            <v>6.9</v>
          </cell>
          <cell r="BL200">
            <v>6.1</v>
          </cell>
          <cell r="BM200">
            <v>5.2</v>
          </cell>
          <cell r="BN200">
            <v>36</v>
          </cell>
          <cell r="BO200">
            <v>46</v>
          </cell>
          <cell r="BP200">
            <v>41.5</v>
          </cell>
          <cell r="BQ200">
            <v>51</v>
          </cell>
          <cell r="BR200">
            <v>62.5</v>
          </cell>
          <cell r="BS200">
            <v>51</v>
          </cell>
          <cell r="BT200">
            <v>51</v>
          </cell>
          <cell r="BU200">
            <v>51</v>
          </cell>
          <cell r="BV200">
            <v>51</v>
          </cell>
          <cell r="BW200">
            <v>20</v>
          </cell>
          <cell r="BX200">
            <v>30</v>
          </cell>
          <cell r="BY200">
            <v>21</v>
          </cell>
          <cell r="BZ200">
            <v>31</v>
          </cell>
          <cell r="CA200">
            <v>68</v>
          </cell>
          <cell r="CB200">
            <v>51</v>
          </cell>
          <cell r="CC200">
            <v>51</v>
          </cell>
          <cell r="CD200">
            <v>51</v>
          </cell>
          <cell r="CE200">
            <v>51</v>
          </cell>
          <cell r="CF200">
            <v>9.1999999999999993</v>
          </cell>
          <cell r="CG200">
            <v>8.3000000000000007</v>
          </cell>
          <cell r="CH200">
            <v>1.2</v>
          </cell>
          <cell r="CI200">
            <v>1.1000000000000001</v>
          </cell>
          <cell r="CJ200">
            <v>2.9</v>
          </cell>
          <cell r="CK200">
            <v>2.6</v>
          </cell>
          <cell r="CL200">
            <v>2.2999999999999998</v>
          </cell>
          <cell r="CM200">
            <v>2.1</v>
          </cell>
          <cell r="CN200">
            <v>1.9</v>
          </cell>
          <cell r="CO200">
            <v>43.9</v>
          </cell>
          <cell r="CP200">
            <v>39.5</v>
          </cell>
          <cell r="CQ200">
            <v>24.7</v>
          </cell>
          <cell r="CR200">
            <v>22.2</v>
          </cell>
          <cell r="CS200">
            <v>18.600000000000001</v>
          </cell>
          <cell r="CT200">
            <v>16.7</v>
          </cell>
          <cell r="CU200">
            <v>15.1</v>
          </cell>
          <cell r="CV200">
            <v>13.6</v>
          </cell>
          <cell r="CW200">
            <v>12.2</v>
          </cell>
          <cell r="CX200">
            <v>36</v>
          </cell>
          <cell r="CY200">
            <v>32.4</v>
          </cell>
          <cell r="CZ200">
            <v>17.7</v>
          </cell>
          <cell r="DA200">
            <v>15.9</v>
          </cell>
          <cell r="DB200">
            <v>20</v>
          </cell>
          <cell r="DC200">
            <v>18</v>
          </cell>
          <cell r="DD200">
            <v>16.2</v>
          </cell>
          <cell r="DE200">
            <v>14.6</v>
          </cell>
          <cell r="DF200">
            <v>13.1</v>
          </cell>
          <cell r="DG200">
            <v>3.4</v>
          </cell>
          <cell r="DH200">
            <v>3.7</v>
          </cell>
          <cell r="DI200">
            <v>6</v>
          </cell>
          <cell r="DJ200">
            <v>6.6</v>
          </cell>
          <cell r="DK200">
            <v>13</v>
          </cell>
          <cell r="DL200">
            <v>14.3</v>
          </cell>
          <cell r="DM200">
            <v>15.7</v>
          </cell>
          <cell r="DN200">
            <v>17.3</v>
          </cell>
          <cell r="DO200">
            <v>19</v>
          </cell>
          <cell r="DP200">
            <v>4.9000000000000004</v>
          </cell>
          <cell r="DQ200">
            <v>5.4</v>
          </cell>
          <cell r="DR200">
            <v>7.1</v>
          </cell>
          <cell r="DS200">
            <v>7.8</v>
          </cell>
          <cell r="DT200">
            <v>34.299999999999997</v>
          </cell>
          <cell r="DU200">
            <v>37.700000000000003</v>
          </cell>
          <cell r="DV200">
            <v>41.5</v>
          </cell>
          <cell r="DW200">
            <v>45.7</v>
          </cell>
          <cell r="DX200">
            <v>50.2</v>
          </cell>
          <cell r="DY200">
            <v>1.3</v>
          </cell>
          <cell r="DZ200">
            <v>1.4</v>
          </cell>
          <cell r="EA200">
            <v>0</v>
          </cell>
          <cell r="EB200">
            <v>1</v>
          </cell>
          <cell r="EC200">
            <v>0</v>
          </cell>
          <cell r="ED200">
            <v>1</v>
          </cell>
          <cell r="EE200">
            <v>1.1000000000000001</v>
          </cell>
          <cell r="EF200">
            <v>1.2</v>
          </cell>
          <cell r="EG200">
            <v>1.3</v>
          </cell>
        </row>
        <row r="201">
          <cell r="A201" t="str">
            <v>01490530ELL and Former ELL</v>
          </cell>
          <cell r="B201" t="str">
            <v>01490530L</v>
          </cell>
          <cell r="C201" t="str">
            <v>0149</v>
          </cell>
          <cell r="D201" t="str">
            <v>01490530</v>
          </cell>
          <cell r="E201" t="str">
            <v>Lawrence</v>
          </cell>
          <cell r="F201" t="str">
            <v>Business Management &amp; Finance High School</v>
          </cell>
          <cell r="G201" t="str">
            <v>HS</v>
          </cell>
          <cell r="H201" t="str">
            <v>Lawrence - Business Management &amp; Finance High School (01490530)</v>
          </cell>
          <cell r="I201" t="str">
            <v>ELL and Former ELL</v>
          </cell>
          <cell r="J201" t="str">
            <v>01490530ELL and Former ELL</v>
          </cell>
          <cell r="K201" t="str">
            <v>--</v>
          </cell>
          <cell r="L201">
            <v>76.3</v>
          </cell>
          <cell r="M201" t="str">
            <v>--</v>
          </cell>
          <cell r="N201">
            <v>86.5</v>
          </cell>
          <cell r="O201" t="str">
            <v>--</v>
          </cell>
          <cell r="P201">
            <v>76.3</v>
          </cell>
          <cell r="Q201">
            <v>78.3</v>
          </cell>
          <cell r="R201">
            <v>80.3</v>
          </cell>
          <cell r="S201">
            <v>82.2</v>
          </cell>
          <cell r="T201">
            <v>84.2</v>
          </cell>
          <cell r="U201">
            <v>57.1</v>
          </cell>
          <cell r="V201" t="str">
            <v>--</v>
          </cell>
          <cell r="W201">
            <v>57.7</v>
          </cell>
          <cell r="X201" t="str">
            <v>--</v>
          </cell>
          <cell r="Y201">
            <v>57.1</v>
          </cell>
          <cell r="Z201">
            <v>60.7</v>
          </cell>
          <cell r="AA201">
            <v>64.3</v>
          </cell>
          <cell r="AB201">
            <v>67.8</v>
          </cell>
          <cell r="AC201">
            <v>71.400000000000006</v>
          </cell>
          <cell r="AD201" t="str">
            <v>--</v>
          </cell>
          <cell r="AE201" t="str">
            <v>--</v>
          </cell>
          <cell r="AF201" t="str">
            <v>--</v>
          </cell>
          <cell r="AG201" t="str">
            <v>--</v>
          </cell>
          <cell r="AH201" t="str">
            <v>--</v>
          </cell>
          <cell r="AI201" t="str">
            <v>--</v>
          </cell>
          <cell r="AJ201" t="str">
            <v>--</v>
          </cell>
          <cell r="AK201" t="str">
            <v>--</v>
          </cell>
          <cell r="AL201" t="str">
            <v>--</v>
          </cell>
          <cell r="AM201" t="str">
            <v>--</v>
          </cell>
          <cell r="AN201" t="str">
            <v>--</v>
          </cell>
          <cell r="AO201" t="str">
            <v>--</v>
          </cell>
          <cell r="AP201" t="str">
            <v>--</v>
          </cell>
          <cell r="AQ201" t="str">
            <v>--</v>
          </cell>
          <cell r="AR201" t="str">
            <v>--</v>
          </cell>
          <cell r="AS201" t="str">
            <v>--</v>
          </cell>
          <cell r="AT201" t="str">
            <v>--</v>
          </cell>
          <cell r="AU201" t="str">
            <v>--</v>
          </cell>
          <cell r="AV201" t="str">
            <v>--</v>
          </cell>
          <cell r="AW201" t="str">
            <v>--</v>
          </cell>
          <cell r="AX201" t="str">
            <v>--</v>
          </cell>
          <cell r="AY201" t="str">
            <v>--</v>
          </cell>
          <cell r="AZ201" t="str">
            <v>--</v>
          </cell>
          <cell r="BA201" t="str">
            <v>--</v>
          </cell>
          <cell r="BB201" t="str">
            <v>--</v>
          </cell>
          <cell r="BC201" t="str">
            <v>--</v>
          </cell>
          <cell r="BD201" t="str">
            <v>--</v>
          </cell>
          <cell r="BE201">
            <v>4.2</v>
          </cell>
          <cell r="BF201">
            <v>3.9</v>
          </cell>
          <cell r="BG201">
            <v>7.3</v>
          </cell>
          <cell r="BH201">
            <v>3.5</v>
          </cell>
          <cell r="BI201">
            <v>6.6</v>
          </cell>
          <cell r="BJ201">
            <v>3.2</v>
          </cell>
          <cell r="BK201">
            <v>2.8</v>
          </cell>
          <cell r="BL201">
            <v>2.5</v>
          </cell>
          <cell r="BM201">
            <v>2.1</v>
          </cell>
          <cell r="BN201" t="str">
            <v>--</v>
          </cell>
          <cell r="BO201" t="str">
            <v>--</v>
          </cell>
          <cell r="BP201" t="str">
            <v>--</v>
          </cell>
          <cell r="BQ201" t="str">
            <v>--</v>
          </cell>
          <cell r="BR201" t="str">
            <v>--</v>
          </cell>
          <cell r="BS201" t="str">
            <v>--</v>
          </cell>
          <cell r="BT201" t="str">
            <v>--</v>
          </cell>
          <cell r="BU201" t="str">
            <v>--</v>
          </cell>
          <cell r="BV201" t="str">
            <v>--</v>
          </cell>
          <cell r="BW201" t="str">
            <v>--</v>
          </cell>
          <cell r="BX201" t="str">
            <v>--</v>
          </cell>
          <cell r="BY201" t="str">
            <v>--</v>
          </cell>
          <cell r="BZ201" t="str">
            <v>--</v>
          </cell>
          <cell r="CA201" t="str">
            <v>--</v>
          </cell>
          <cell r="CB201" t="str">
            <v>--</v>
          </cell>
          <cell r="CC201" t="str">
            <v>--</v>
          </cell>
          <cell r="CD201" t="str">
            <v>--</v>
          </cell>
          <cell r="CE201" t="str">
            <v>--</v>
          </cell>
          <cell r="CF201">
            <v>23.5</v>
          </cell>
          <cell r="CG201" t="str">
            <v>--</v>
          </cell>
          <cell r="CH201">
            <v>0</v>
          </cell>
          <cell r="CI201" t="str">
            <v>--</v>
          </cell>
          <cell r="CJ201">
            <v>10</v>
          </cell>
          <cell r="CK201">
            <v>9</v>
          </cell>
          <cell r="CL201">
            <v>8.1</v>
          </cell>
          <cell r="CM201">
            <v>7.3</v>
          </cell>
          <cell r="CN201">
            <v>6.6</v>
          </cell>
          <cell r="CO201">
            <v>61.1</v>
          </cell>
          <cell r="CP201" t="str">
            <v>--</v>
          </cell>
          <cell r="CQ201">
            <v>38.5</v>
          </cell>
          <cell r="CR201" t="str">
            <v>--</v>
          </cell>
          <cell r="CS201">
            <v>47.6</v>
          </cell>
          <cell r="CT201">
            <v>42.8</v>
          </cell>
          <cell r="CU201">
            <v>38.6</v>
          </cell>
          <cell r="CV201">
            <v>34.700000000000003</v>
          </cell>
          <cell r="CW201">
            <v>31.2</v>
          </cell>
          <cell r="CX201" t="str">
            <v>--</v>
          </cell>
          <cell r="CY201" t="str">
            <v>--</v>
          </cell>
          <cell r="CZ201" t="str">
            <v>--</v>
          </cell>
          <cell r="DA201" t="str">
            <v>--</v>
          </cell>
          <cell r="DB201" t="str">
            <v>--</v>
          </cell>
          <cell r="DC201" t="str">
            <v>--</v>
          </cell>
          <cell r="DD201" t="str">
            <v>--</v>
          </cell>
          <cell r="DE201" t="str">
            <v>--</v>
          </cell>
          <cell r="DF201" t="str">
            <v>--</v>
          </cell>
          <cell r="DG201">
            <v>0</v>
          </cell>
          <cell r="DH201" t="str">
            <v>--</v>
          </cell>
          <cell r="DI201">
            <v>0</v>
          </cell>
          <cell r="DJ201" t="str">
            <v>--</v>
          </cell>
          <cell r="DK201">
            <v>5</v>
          </cell>
          <cell r="DL201">
            <v>5.5</v>
          </cell>
          <cell r="DM201">
            <v>6.1</v>
          </cell>
          <cell r="DN201">
            <v>6.7</v>
          </cell>
          <cell r="DO201">
            <v>7.3</v>
          </cell>
          <cell r="DP201">
            <v>0</v>
          </cell>
          <cell r="DQ201" t="str">
            <v>--</v>
          </cell>
          <cell r="DR201">
            <v>7.7</v>
          </cell>
          <cell r="DS201" t="str">
            <v>--</v>
          </cell>
          <cell r="DT201">
            <v>19</v>
          </cell>
          <cell r="DU201">
            <v>20.9</v>
          </cell>
          <cell r="DV201">
            <v>23</v>
          </cell>
          <cell r="DW201">
            <v>25.3</v>
          </cell>
          <cell r="DX201">
            <v>27.8</v>
          </cell>
          <cell r="DY201" t="str">
            <v>--</v>
          </cell>
          <cell r="DZ201" t="str">
            <v>--</v>
          </cell>
          <cell r="EA201" t="str">
            <v>--</v>
          </cell>
          <cell r="EB201" t="str">
            <v>--</v>
          </cell>
          <cell r="EC201" t="str">
            <v>--</v>
          </cell>
          <cell r="ED201" t="str">
            <v>--</v>
          </cell>
          <cell r="EE201" t="str">
            <v>--</v>
          </cell>
          <cell r="EF201" t="str">
            <v>--</v>
          </cell>
          <cell r="EG201" t="str">
            <v>--</v>
          </cell>
        </row>
        <row r="202">
          <cell r="A202" t="str">
            <v>01490530Multi-race, Non-Hisp./Lat.</v>
          </cell>
          <cell r="B202" t="str">
            <v>01490530M</v>
          </cell>
          <cell r="C202" t="str">
            <v>0149</v>
          </cell>
          <cell r="D202" t="str">
            <v>01490530</v>
          </cell>
          <cell r="E202" t="str">
            <v>Lawrence</v>
          </cell>
          <cell r="F202" t="str">
            <v>Business Management &amp; Finance High School</v>
          </cell>
          <cell r="G202" t="str">
            <v>HS</v>
          </cell>
          <cell r="H202" t="str">
            <v>Lawrence - Business Management &amp; Finance High School (01490530)</v>
          </cell>
          <cell r="I202" t="str">
            <v>Multi-race, Non-Hisp./Lat.</v>
          </cell>
          <cell r="J202" t="str">
            <v>01490530Multi-race, Non-Hisp./Lat.</v>
          </cell>
          <cell r="K202" t="str">
            <v>Level 4</v>
          </cell>
          <cell r="L202" t="str">
            <v>--</v>
          </cell>
          <cell r="M202" t="str">
            <v>--</v>
          </cell>
          <cell r="N202" t="str">
            <v>--</v>
          </cell>
          <cell r="O202" t="str">
            <v>--</v>
          </cell>
          <cell r="P202" t="str">
            <v>--</v>
          </cell>
          <cell r="Q202" t="str">
            <v>--</v>
          </cell>
          <cell r="R202" t="str">
            <v>--</v>
          </cell>
          <cell r="S202" t="str">
            <v>--</v>
          </cell>
          <cell r="T202" t="str">
            <v>--</v>
          </cell>
          <cell r="U202" t="str">
            <v>--</v>
          </cell>
          <cell r="V202" t="str">
            <v>--</v>
          </cell>
          <cell r="W202" t="str">
            <v>--</v>
          </cell>
          <cell r="X202" t="str">
            <v>--</v>
          </cell>
          <cell r="Y202" t="str">
            <v>--</v>
          </cell>
          <cell r="Z202" t="str">
            <v>--</v>
          </cell>
          <cell r="AA202" t="str">
            <v>--</v>
          </cell>
          <cell r="AB202" t="str">
            <v>--</v>
          </cell>
          <cell r="AC202" t="str">
            <v>--</v>
          </cell>
          <cell r="AD202" t="str">
            <v>--</v>
          </cell>
          <cell r="AE202" t="str">
            <v>--</v>
          </cell>
          <cell r="AF202" t="str">
            <v>--</v>
          </cell>
          <cell r="AG202" t="str">
            <v>--</v>
          </cell>
          <cell r="AH202" t="str">
            <v>--</v>
          </cell>
          <cell r="AI202" t="str">
            <v>--</v>
          </cell>
          <cell r="AJ202" t="str">
            <v>--</v>
          </cell>
          <cell r="AK202" t="str">
            <v>--</v>
          </cell>
          <cell r="AL202" t="str">
            <v>--</v>
          </cell>
          <cell r="AM202" t="str">
            <v>--</v>
          </cell>
          <cell r="AN202" t="str">
            <v>--</v>
          </cell>
          <cell r="AO202" t="str">
            <v>--</v>
          </cell>
          <cell r="AP202" t="str">
            <v>--</v>
          </cell>
          <cell r="AQ202" t="str">
            <v>--</v>
          </cell>
          <cell r="AR202" t="str">
            <v>--</v>
          </cell>
          <cell r="AS202" t="str">
            <v>--</v>
          </cell>
          <cell r="AT202" t="str">
            <v>--</v>
          </cell>
          <cell r="AU202" t="str">
            <v>--</v>
          </cell>
          <cell r="AV202" t="str">
            <v>--</v>
          </cell>
          <cell r="AW202" t="str">
            <v>--</v>
          </cell>
          <cell r="AX202" t="str">
            <v>--</v>
          </cell>
          <cell r="AY202" t="str">
            <v>--</v>
          </cell>
          <cell r="AZ202" t="str">
            <v>--</v>
          </cell>
          <cell r="BA202" t="str">
            <v>--</v>
          </cell>
          <cell r="BB202" t="str">
            <v>--</v>
          </cell>
          <cell r="BC202" t="str">
            <v>--</v>
          </cell>
          <cell r="BD202" t="str">
            <v>--</v>
          </cell>
          <cell r="BE202" t="str">
            <v>--</v>
          </cell>
          <cell r="BF202" t="str">
            <v>--</v>
          </cell>
          <cell r="BG202" t="str">
            <v>--</v>
          </cell>
          <cell r="BH202" t="str">
            <v>--</v>
          </cell>
          <cell r="BI202" t="str">
            <v>--</v>
          </cell>
          <cell r="BJ202" t="str">
            <v>--</v>
          </cell>
          <cell r="BK202" t="str">
            <v>--</v>
          </cell>
          <cell r="BL202" t="str">
            <v>--</v>
          </cell>
          <cell r="BM202" t="str">
            <v>--</v>
          </cell>
          <cell r="BN202" t="str">
            <v>--</v>
          </cell>
          <cell r="BO202" t="str">
            <v>--</v>
          </cell>
          <cell r="BP202" t="str">
            <v>--</v>
          </cell>
          <cell r="BQ202" t="str">
            <v>--</v>
          </cell>
          <cell r="BR202" t="str">
            <v>--</v>
          </cell>
          <cell r="BS202" t="str">
            <v>--</v>
          </cell>
          <cell r="BT202" t="str">
            <v>--</v>
          </cell>
          <cell r="BU202" t="str">
            <v>--</v>
          </cell>
          <cell r="BV202" t="str">
            <v>--</v>
          </cell>
          <cell r="BW202" t="str">
            <v>--</v>
          </cell>
          <cell r="BX202" t="str">
            <v>--</v>
          </cell>
          <cell r="BY202" t="str">
            <v>--</v>
          </cell>
          <cell r="BZ202" t="str">
            <v>--</v>
          </cell>
          <cell r="CA202" t="str">
            <v>--</v>
          </cell>
          <cell r="CB202" t="str">
            <v>--</v>
          </cell>
          <cell r="CC202" t="str">
            <v>--</v>
          </cell>
          <cell r="CD202" t="str">
            <v>--</v>
          </cell>
          <cell r="CE202" t="str">
            <v>--</v>
          </cell>
          <cell r="CF202" t="str">
            <v>--</v>
          </cell>
          <cell r="CG202" t="str">
            <v>--</v>
          </cell>
          <cell r="CH202" t="str">
            <v>--</v>
          </cell>
          <cell r="CI202" t="str">
            <v>--</v>
          </cell>
          <cell r="CJ202" t="str">
            <v>--</v>
          </cell>
          <cell r="CK202" t="str">
            <v>--</v>
          </cell>
          <cell r="CL202" t="str">
            <v>--</v>
          </cell>
          <cell r="CM202" t="str">
            <v>--</v>
          </cell>
          <cell r="CN202" t="str">
            <v>--</v>
          </cell>
          <cell r="CO202" t="str">
            <v>--</v>
          </cell>
          <cell r="CP202" t="str">
            <v>--</v>
          </cell>
          <cell r="CQ202" t="str">
            <v>--</v>
          </cell>
          <cell r="CR202" t="str">
            <v>--</v>
          </cell>
          <cell r="CS202" t="str">
            <v>--</v>
          </cell>
          <cell r="CT202" t="str">
            <v>--</v>
          </cell>
          <cell r="CU202" t="str">
            <v>--</v>
          </cell>
          <cell r="CV202" t="str">
            <v>--</v>
          </cell>
          <cell r="CW202" t="str">
            <v>--</v>
          </cell>
          <cell r="CX202" t="str">
            <v>--</v>
          </cell>
          <cell r="CY202" t="str">
            <v>--</v>
          </cell>
          <cell r="CZ202" t="str">
            <v>--</v>
          </cell>
          <cell r="DA202" t="str">
            <v>--</v>
          </cell>
          <cell r="DB202" t="str">
            <v>--</v>
          </cell>
          <cell r="DC202" t="str">
            <v>--</v>
          </cell>
          <cell r="DD202" t="str">
            <v>--</v>
          </cell>
          <cell r="DE202" t="str">
            <v>--</v>
          </cell>
          <cell r="DF202" t="str">
            <v>--</v>
          </cell>
          <cell r="DG202" t="str">
            <v>--</v>
          </cell>
          <cell r="DH202" t="str">
            <v>--</v>
          </cell>
          <cell r="DI202" t="str">
            <v>--</v>
          </cell>
          <cell r="DJ202" t="str">
            <v>--</v>
          </cell>
          <cell r="DK202" t="str">
            <v>--</v>
          </cell>
          <cell r="DL202" t="str">
            <v>--</v>
          </cell>
          <cell r="DM202" t="str">
            <v>--</v>
          </cell>
          <cell r="DN202" t="str">
            <v>--</v>
          </cell>
          <cell r="DO202" t="str">
            <v>--</v>
          </cell>
          <cell r="DP202" t="str">
            <v>--</v>
          </cell>
          <cell r="DQ202" t="str">
            <v>--</v>
          </cell>
          <cell r="DR202" t="str">
            <v>--</v>
          </cell>
          <cell r="DS202" t="str">
            <v>--</v>
          </cell>
          <cell r="DT202" t="str">
            <v>--</v>
          </cell>
          <cell r="DU202" t="str">
            <v>--</v>
          </cell>
          <cell r="DV202" t="str">
            <v>--</v>
          </cell>
          <cell r="DW202" t="str">
            <v>--</v>
          </cell>
          <cell r="DX202" t="str">
            <v>--</v>
          </cell>
          <cell r="DY202" t="str">
            <v>--</v>
          </cell>
          <cell r="DZ202" t="str">
            <v>--</v>
          </cell>
          <cell r="EA202" t="str">
            <v>--</v>
          </cell>
          <cell r="EB202" t="str">
            <v>--</v>
          </cell>
          <cell r="EC202" t="str">
            <v>--</v>
          </cell>
          <cell r="ED202" t="str">
            <v>--</v>
          </cell>
          <cell r="EE202" t="str">
            <v>--</v>
          </cell>
          <cell r="EF202" t="str">
            <v>--</v>
          </cell>
          <cell r="EG202" t="str">
            <v>--</v>
          </cell>
        </row>
        <row r="203">
          <cell r="A203" t="str">
            <v>01490530Amer. Ind. or Alaska Nat.</v>
          </cell>
          <cell r="B203" t="str">
            <v>01490530N</v>
          </cell>
          <cell r="C203" t="str">
            <v>0149</v>
          </cell>
          <cell r="D203" t="str">
            <v>01490530</v>
          </cell>
          <cell r="E203" t="str">
            <v>Lawrence</v>
          </cell>
          <cell r="F203" t="str">
            <v>Business Management &amp; Finance High School</v>
          </cell>
          <cell r="G203" t="str">
            <v>HS</v>
          </cell>
          <cell r="H203" t="str">
            <v>Lawrence - Business Management &amp; Finance High School (01490530)</v>
          </cell>
          <cell r="I203" t="str">
            <v>Amer. Ind. or Alaska Nat.</v>
          </cell>
          <cell r="J203" t="str">
            <v>01490530Amer. Ind. or Alaska Nat.</v>
          </cell>
          <cell r="K203" t="str">
            <v>--</v>
          </cell>
          <cell r="L203" t="str">
            <v>--</v>
          </cell>
          <cell r="M203" t="str">
            <v>--</v>
          </cell>
          <cell r="N203" t="str">
            <v>--</v>
          </cell>
          <cell r="O203" t="str">
            <v>--</v>
          </cell>
          <cell r="P203" t="str">
            <v>--</v>
          </cell>
          <cell r="Q203" t="str">
            <v>--</v>
          </cell>
          <cell r="R203" t="str">
            <v>--</v>
          </cell>
          <cell r="S203" t="str">
            <v>--</v>
          </cell>
          <cell r="T203" t="str">
            <v>--</v>
          </cell>
          <cell r="U203" t="str">
            <v>--</v>
          </cell>
          <cell r="V203" t="str">
            <v>--</v>
          </cell>
          <cell r="W203" t="str">
            <v>--</v>
          </cell>
          <cell r="X203" t="str">
            <v>--</v>
          </cell>
          <cell r="Y203" t="str">
            <v>--</v>
          </cell>
          <cell r="Z203" t="str">
            <v>--</v>
          </cell>
          <cell r="AA203" t="str">
            <v>--</v>
          </cell>
          <cell r="AB203" t="str">
            <v>--</v>
          </cell>
          <cell r="AC203" t="str">
            <v>--</v>
          </cell>
          <cell r="AD203" t="str">
            <v>--</v>
          </cell>
          <cell r="AE203" t="str">
            <v>--</v>
          </cell>
          <cell r="AF203" t="str">
            <v>--</v>
          </cell>
          <cell r="AG203" t="str">
            <v>--</v>
          </cell>
          <cell r="AH203" t="str">
            <v>--</v>
          </cell>
          <cell r="AI203" t="str">
            <v>--</v>
          </cell>
          <cell r="AJ203" t="str">
            <v>--</v>
          </cell>
          <cell r="AK203" t="str">
            <v>--</v>
          </cell>
          <cell r="AL203" t="str">
            <v>--</v>
          </cell>
          <cell r="AM203" t="str">
            <v>--</v>
          </cell>
          <cell r="AN203" t="str">
            <v>--</v>
          </cell>
          <cell r="AO203" t="str">
            <v>--</v>
          </cell>
          <cell r="AP203" t="str">
            <v>--</v>
          </cell>
          <cell r="AQ203" t="str">
            <v>--</v>
          </cell>
          <cell r="AR203" t="str">
            <v>--</v>
          </cell>
          <cell r="AS203" t="str">
            <v>--</v>
          </cell>
          <cell r="AT203" t="str">
            <v>--</v>
          </cell>
          <cell r="AU203" t="str">
            <v>--</v>
          </cell>
          <cell r="AV203" t="str">
            <v>--</v>
          </cell>
          <cell r="AW203" t="str">
            <v>--</v>
          </cell>
          <cell r="AX203" t="str">
            <v>--</v>
          </cell>
          <cell r="AY203" t="str">
            <v>--</v>
          </cell>
          <cell r="AZ203" t="str">
            <v>--</v>
          </cell>
          <cell r="BA203" t="str">
            <v>--</v>
          </cell>
          <cell r="BB203" t="str">
            <v>--</v>
          </cell>
          <cell r="BC203" t="str">
            <v>--</v>
          </cell>
          <cell r="BD203" t="str">
            <v>--</v>
          </cell>
          <cell r="BE203" t="str">
            <v>--</v>
          </cell>
          <cell r="BF203" t="str">
            <v>--</v>
          </cell>
          <cell r="BG203" t="str">
            <v>--</v>
          </cell>
          <cell r="BH203" t="str">
            <v>--</v>
          </cell>
          <cell r="BI203" t="str">
            <v>--</v>
          </cell>
          <cell r="BJ203" t="str">
            <v>--</v>
          </cell>
          <cell r="BK203" t="str">
            <v>--</v>
          </cell>
          <cell r="BL203" t="str">
            <v>--</v>
          </cell>
          <cell r="BM203" t="str">
            <v>--</v>
          </cell>
          <cell r="BN203" t="str">
            <v>--</v>
          </cell>
          <cell r="BO203" t="str">
            <v>--</v>
          </cell>
          <cell r="BP203" t="str">
            <v>--</v>
          </cell>
          <cell r="BQ203" t="str">
            <v>--</v>
          </cell>
          <cell r="BR203" t="str">
            <v>--</v>
          </cell>
          <cell r="BS203" t="str">
            <v>--</v>
          </cell>
          <cell r="BT203" t="str">
            <v>--</v>
          </cell>
          <cell r="BU203" t="str">
            <v>--</v>
          </cell>
          <cell r="BV203" t="str">
            <v>--</v>
          </cell>
          <cell r="BW203" t="str">
            <v>--</v>
          </cell>
          <cell r="BX203" t="str">
            <v>--</v>
          </cell>
          <cell r="BY203" t="str">
            <v>--</v>
          </cell>
          <cell r="BZ203" t="str">
            <v>--</v>
          </cell>
          <cell r="CA203" t="str">
            <v>--</v>
          </cell>
          <cell r="CB203" t="str">
            <v>--</v>
          </cell>
          <cell r="CC203" t="str">
            <v>--</v>
          </cell>
          <cell r="CD203" t="str">
            <v>--</v>
          </cell>
          <cell r="CE203" t="str">
            <v>--</v>
          </cell>
          <cell r="CF203" t="str">
            <v>--</v>
          </cell>
          <cell r="CG203" t="str">
            <v>--</v>
          </cell>
          <cell r="CH203" t="str">
            <v>--</v>
          </cell>
          <cell r="CI203" t="str">
            <v>--</v>
          </cell>
          <cell r="CJ203" t="str">
            <v>--</v>
          </cell>
          <cell r="CK203" t="str">
            <v>--</v>
          </cell>
          <cell r="CL203" t="str">
            <v>--</v>
          </cell>
          <cell r="CM203" t="str">
            <v>--</v>
          </cell>
          <cell r="CN203" t="str">
            <v>--</v>
          </cell>
          <cell r="CO203" t="str">
            <v>--</v>
          </cell>
          <cell r="CP203" t="str">
            <v>--</v>
          </cell>
          <cell r="CQ203" t="str">
            <v>--</v>
          </cell>
          <cell r="CR203" t="str">
            <v>--</v>
          </cell>
          <cell r="CS203" t="str">
            <v>--</v>
          </cell>
          <cell r="CT203" t="str">
            <v>--</v>
          </cell>
          <cell r="CU203" t="str">
            <v>--</v>
          </cell>
          <cell r="CV203" t="str">
            <v>--</v>
          </cell>
          <cell r="CW203" t="str">
            <v>--</v>
          </cell>
          <cell r="CX203" t="str">
            <v>--</v>
          </cell>
          <cell r="CY203" t="str">
            <v>--</v>
          </cell>
          <cell r="CZ203" t="str">
            <v>--</v>
          </cell>
          <cell r="DA203" t="str">
            <v>--</v>
          </cell>
          <cell r="DB203" t="str">
            <v>--</v>
          </cell>
          <cell r="DC203" t="str">
            <v>--</v>
          </cell>
          <cell r="DD203" t="str">
            <v>--</v>
          </cell>
          <cell r="DE203" t="str">
            <v>--</v>
          </cell>
          <cell r="DF203" t="str">
            <v>--</v>
          </cell>
          <cell r="DG203" t="str">
            <v>--</v>
          </cell>
          <cell r="DH203" t="str">
            <v>--</v>
          </cell>
          <cell r="DI203" t="str">
            <v>--</v>
          </cell>
          <cell r="DJ203" t="str">
            <v>--</v>
          </cell>
          <cell r="DK203" t="str">
            <v>--</v>
          </cell>
          <cell r="DL203" t="str">
            <v>--</v>
          </cell>
          <cell r="DM203" t="str">
            <v>--</v>
          </cell>
          <cell r="DN203" t="str">
            <v>--</v>
          </cell>
          <cell r="DO203" t="str">
            <v>--</v>
          </cell>
          <cell r="DP203" t="str">
            <v>--</v>
          </cell>
          <cell r="DQ203" t="str">
            <v>--</v>
          </cell>
          <cell r="DR203" t="str">
            <v>--</v>
          </cell>
          <cell r="DS203" t="str">
            <v>--</v>
          </cell>
          <cell r="DT203" t="str">
            <v>--</v>
          </cell>
          <cell r="DU203" t="str">
            <v>--</v>
          </cell>
          <cell r="DV203" t="str">
            <v>--</v>
          </cell>
          <cell r="DW203" t="str">
            <v>--</v>
          </cell>
          <cell r="DX203" t="str">
            <v>--</v>
          </cell>
          <cell r="DY203" t="str">
            <v>--</v>
          </cell>
          <cell r="DZ203" t="str">
            <v>--</v>
          </cell>
          <cell r="EA203" t="str">
            <v>--</v>
          </cell>
          <cell r="EB203" t="str">
            <v>--</v>
          </cell>
          <cell r="EC203" t="str">
            <v>--</v>
          </cell>
          <cell r="ED203" t="str">
            <v>--</v>
          </cell>
          <cell r="EE203" t="str">
            <v>--</v>
          </cell>
          <cell r="EF203" t="str">
            <v>--</v>
          </cell>
          <cell r="EG203" t="str">
            <v>--</v>
          </cell>
        </row>
        <row r="204">
          <cell r="A204" t="str">
            <v>01490530Nat. Haw. or Pacif. Isl.</v>
          </cell>
          <cell r="B204" t="str">
            <v>01490530P</v>
          </cell>
          <cell r="C204" t="str">
            <v>0149</v>
          </cell>
          <cell r="D204" t="str">
            <v>01490530</v>
          </cell>
          <cell r="E204" t="str">
            <v>Lawrence</v>
          </cell>
          <cell r="F204" t="str">
            <v>Business Management &amp; Finance High School</v>
          </cell>
          <cell r="G204" t="str">
            <v>HS</v>
          </cell>
          <cell r="H204" t="str">
            <v>Lawrence - Business Management &amp; Finance High School (01490530)</v>
          </cell>
          <cell r="I204" t="str">
            <v>Nat. Haw. or Pacif. Isl.</v>
          </cell>
          <cell r="J204" t="str">
            <v>01490530Nat. Haw. or Pacif. Isl.</v>
          </cell>
          <cell r="K204" t="str">
            <v>Level 4</v>
          </cell>
          <cell r="L204" t="str">
            <v>--</v>
          </cell>
          <cell r="M204" t="str">
            <v>--</v>
          </cell>
          <cell r="N204" t="str">
            <v>--</v>
          </cell>
          <cell r="O204" t="str">
            <v>--</v>
          </cell>
          <cell r="P204" t="str">
            <v>--</v>
          </cell>
          <cell r="Q204" t="str">
            <v>--</v>
          </cell>
          <cell r="R204" t="str">
            <v>--</v>
          </cell>
          <cell r="S204" t="str">
            <v>--</v>
          </cell>
          <cell r="T204" t="str">
            <v>--</v>
          </cell>
          <cell r="U204" t="str">
            <v>--</v>
          </cell>
          <cell r="V204" t="str">
            <v>--</v>
          </cell>
          <cell r="W204" t="str">
            <v>--</v>
          </cell>
          <cell r="X204" t="str">
            <v>--</v>
          </cell>
          <cell r="Y204" t="str">
            <v>--</v>
          </cell>
          <cell r="Z204" t="str">
            <v>--</v>
          </cell>
          <cell r="AA204" t="str">
            <v>--</v>
          </cell>
          <cell r="AB204" t="str">
            <v>--</v>
          </cell>
          <cell r="AC204" t="str">
            <v>--</v>
          </cell>
          <cell r="AD204" t="str">
            <v>--</v>
          </cell>
          <cell r="AE204" t="str">
            <v>--</v>
          </cell>
          <cell r="AF204" t="str">
            <v>--</v>
          </cell>
          <cell r="AG204" t="str">
            <v>--</v>
          </cell>
          <cell r="AH204" t="str">
            <v>--</v>
          </cell>
          <cell r="AI204" t="str">
            <v>--</v>
          </cell>
          <cell r="AJ204" t="str">
            <v>--</v>
          </cell>
          <cell r="AK204" t="str">
            <v>--</v>
          </cell>
          <cell r="AL204" t="str">
            <v>--</v>
          </cell>
          <cell r="AM204" t="str">
            <v>--</v>
          </cell>
          <cell r="AN204" t="str">
            <v>--</v>
          </cell>
          <cell r="AO204" t="str">
            <v>--</v>
          </cell>
          <cell r="AP204" t="str">
            <v>--</v>
          </cell>
          <cell r="AQ204" t="str">
            <v>--</v>
          </cell>
          <cell r="AR204" t="str">
            <v>--</v>
          </cell>
          <cell r="AS204" t="str">
            <v>--</v>
          </cell>
          <cell r="AT204" t="str">
            <v>--</v>
          </cell>
          <cell r="AU204" t="str">
            <v>--</v>
          </cell>
          <cell r="AV204" t="str">
            <v>--</v>
          </cell>
          <cell r="AW204" t="str">
            <v>--</v>
          </cell>
          <cell r="AX204" t="str">
            <v>--</v>
          </cell>
          <cell r="AY204" t="str">
            <v>--</v>
          </cell>
          <cell r="AZ204" t="str">
            <v>--</v>
          </cell>
          <cell r="BA204" t="str">
            <v>--</v>
          </cell>
          <cell r="BB204" t="str">
            <v>--</v>
          </cell>
          <cell r="BC204" t="str">
            <v>--</v>
          </cell>
          <cell r="BD204" t="str">
            <v>--</v>
          </cell>
          <cell r="BE204" t="str">
            <v>--</v>
          </cell>
          <cell r="BF204" t="str">
            <v>--</v>
          </cell>
          <cell r="BG204" t="str">
            <v>--</v>
          </cell>
          <cell r="BH204" t="str">
            <v>--</v>
          </cell>
          <cell r="BI204" t="str">
            <v>--</v>
          </cell>
          <cell r="BJ204" t="str">
            <v>--</v>
          </cell>
          <cell r="BK204" t="str">
            <v>--</v>
          </cell>
          <cell r="BL204" t="str">
            <v>--</v>
          </cell>
          <cell r="BM204" t="str">
            <v>--</v>
          </cell>
          <cell r="BN204" t="str">
            <v>--</v>
          </cell>
          <cell r="BO204" t="str">
            <v>--</v>
          </cell>
          <cell r="BP204" t="str">
            <v>--</v>
          </cell>
          <cell r="BQ204" t="str">
            <v>--</v>
          </cell>
          <cell r="BR204" t="str">
            <v>--</v>
          </cell>
          <cell r="BS204" t="str">
            <v>--</v>
          </cell>
          <cell r="BT204" t="str">
            <v>--</v>
          </cell>
          <cell r="BU204" t="str">
            <v>--</v>
          </cell>
          <cell r="BV204" t="str">
            <v>--</v>
          </cell>
          <cell r="BW204" t="str">
            <v>--</v>
          </cell>
          <cell r="BX204" t="str">
            <v>--</v>
          </cell>
          <cell r="BY204" t="str">
            <v>--</v>
          </cell>
          <cell r="BZ204" t="str">
            <v>--</v>
          </cell>
          <cell r="CA204" t="str">
            <v>--</v>
          </cell>
          <cell r="CB204" t="str">
            <v>--</v>
          </cell>
          <cell r="CC204" t="str">
            <v>--</v>
          </cell>
          <cell r="CD204" t="str">
            <v>--</v>
          </cell>
          <cell r="CE204" t="str">
            <v>--</v>
          </cell>
          <cell r="CF204" t="str">
            <v>--</v>
          </cell>
          <cell r="CG204" t="str">
            <v>--</v>
          </cell>
          <cell r="CH204" t="str">
            <v>--</v>
          </cell>
          <cell r="CI204" t="str">
            <v>--</v>
          </cell>
          <cell r="CJ204" t="str">
            <v>--</v>
          </cell>
          <cell r="CK204" t="str">
            <v>--</v>
          </cell>
          <cell r="CL204" t="str">
            <v>--</v>
          </cell>
          <cell r="CM204" t="str">
            <v>--</v>
          </cell>
          <cell r="CN204" t="str">
            <v>--</v>
          </cell>
          <cell r="CO204" t="str">
            <v>--</v>
          </cell>
          <cell r="CP204" t="str">
            <v>--</v>
          </cell>
          <cell r="CQ204" t="str">
            <v>--</v>
          </cell>
          <cell r="CR204" t="str">
            <v>--</v>
          </cell>
          <cell r="CS204" t="str">
            <v>--</v>
          </cell>
          <cell r="CT204" t="str">
            <v>--</v>
          </cell>
          <cell r="CU204" t="str">
            <v>--</v>
          </cell>
          <cell r="CV204" t="str">
            <v>--</v>
          </cell>
          <cell r="CW204" t="str">
            <v>--</v>
          </cell>
          <cell r="CX204" t="str">
            <v>--</v>
          </cell>
          <cell r="CY204" t="str">
            <v>--</v>
          </cell>
          <cell r="CZ204" t="str">
            <v>--</v>
          </cell>
          <cell r="DA204" t="str">
            <v>--</v>
          </cell>
          <cell r="DB204" t="str">
            <v>--</v>
          </cell>
          <cell r="DC204" t="str">
            <v>--</v>
          </cell>
          <cell r="DD204" t="str">
            <v>--</v>
          </cell>
          <cell r="DE204" t="str">
            <v>--</v>
          </cell>
          <cell r="DF204" t="str">
            <v>--</v>
          </cell>
          <cell r="DG204" t="str">
            <v>--</v>
          </cell>
          <cell r="DH204" t="str">
            <v>--</v>
          </cell>
          <cell r="DI204" t="str">
            <v>--</v>
          </cell>
          <cell r="DJ204" t="str">
            <v>--</v>
          </cell>
          <cell r="DK204" t="str">
            <v>--</v>
          </cell>
          <cell r="DL204" t="str">
            <v>--</v>
          </cell>
          <cell r="DM204" t="str">
            <v>--</v>
          </cell>
          <cell r="DN204" t="str">
            <v>--</v>
          </cell>
          <cell r="DO204" t="str">
            <v>--</v>
          </cell>
          <cell r="DP204" t="str">
            <v>--</v>
          </cell>
          <cell r="DQ204" t="str">
            <v>--</v>
          </cell>
          <cell r="DR204" t="str">
            <v>--</v>
          </cell>
          <cell r="DS204" t="str">
            <v>--</v>
          </cell>
          <cell r="DT204" t="str">
            <v>--</v>
          </cell>
          <cell r="DU204" t="str">
            <v>--</v>
          </cell>
          <cell r="DV204" t="str">
            <v>--</v>
          </cell>
          <cell r="DW204" t="str">
            <v>--</v>
          </cell>
          <cell r="DX204" t="str">
            <v>--</v>
          </cell>
          <cell r="DY204" t="str">
            <v>--</v>
          </cell>
          <cell r="DZ204" t="str">
            <v>--</v>
          </cell>
          <cell r="EA204" t="str">
            <v>--</v>
          </cell>
          <cell r="EB204" t="str">
            <v>--</v>
          </cell>
          <cell r="EC204" t="str">
            <v>--</v>
          </cell>
          <cell r="ED204" t="str">
            <v>--</v>
          </cell>
          <cell r="EE204" t="str">
            <v>--</v>
          </cell>
          <cell r="EF204" t="str">
            <v>--</v>
          </cell>
          <cell r="EG204" t="str">
            <v>--</v>
          </cell>
        </row>
        <row r="205">
          <cell r="A205" t="str">
            <v>01490530High needs</v>
          </cell>
          <cell r="B205" t="str">
            <v>01490530S</v>
          </cell>
          <cell r="C205" t="str">
            <v>0149</v>
          </cell>
          <cell r="D205" t="str">
            <v>01490530</v>
          </cell>
          <cell r="E205" t="str">
            <v>Lawrence</v>
          </cell>
          <cell r="F205" t="str">
            <v>Business Management &amp; Finance High School</v>
          </cell>
          <cell r="G205" t="str">
            <v>HS</v>
          </cell>
          <cell r="H205" t="str">
            <v>Lawrence - Business Management &amp; Finance High School (01490530)</v>
          </cell>
          <cell r="I205" t="str">
            <v>High needs</v>
          </cell>
          <cell r="J205" t="str">
            <v>01490530High needs</v>
          </cell>
          <cell r="K205" t="str">
            <v>Level 4</v>
          </cell>
          <cell r="L205">
            <v>71.7</v>
          </cell>
          <cell r="M205">
            <v>74.099999999999994</v>
          </cell>
          <cell r="N205">
            <v>90.2</v>
          </cell>
          <cell r="O205">
            <v>76.400000000000006</v>
          </cell>
          <cell r="P205">
            <v>89.9</v>
          </cell>
          <cell r="Q205">
            <v>78.8</v>
          </cell>
          <cell r="R205">
            <v>81.099999999999994</v>
          </cell>
          <cell r="S205">
            <v>83.5</v>
          </cell>
          <cell r="T205">
            <v>85.9</v>
          </cell>
          <cell r="U205">
            <v>49.7</v>
          </cell>
          <cell r="V205">
            <v>53.9</v>
          </cell>
          <cell r="W205">
            <v>68.2</v>
          </cell>
          <cell r="X205">
            <v>58.1</v>
          </cell>
          <cell r="Y205">
            <v>79.8</v>
          </cell>
          <cell r="Z205">
            <v>62.3</v>
          </cell>
          <cell r="AA205">
            <v>66.5</v>
          </cell>
          <cell r="AB205">
            <v>70.7</v>
          </cell>
          <cell r="AC205">
            <v>74.900000000000006</v>
          </cell>
          <cell r="AD205">
            <v>48.1</v>
          </cell>
          <cell r="AE205">
            <v>52.4</v>
          </cell>
          <cell r="AF205">
            <v>56.8</v>
          </cell>
          <cell r="AG205">
            <v>56.8</v>
          </cell>
          <cell r="AH205">
            <v>61.9</v>
          </cell>
          <cell r="AI205">
            <v>61.1</v>
          </cell>
          <cell r="AJ205">
            <v>65.400000000000006</v>
          </cell>
          <cell r="AK205">
            <v>69.7</v>
          </cell>
          <cell r="AL205">
            <v>74.099999999999994</v>
          </cell>
          <cell r="AM205">
            <v>45.5</v>
          </cell>
          <cell r="AN205">
            <v>48</v>
          </cell>
          <cell r="AO205">
            <v>65.8</v>
          </cell>
          <cell r="AP205">
            <v>68.3</v>
          </cell>
          <cell r="AQ205">
            <v>68.2</v>
          </cell>
          <cell r="AR205">
            <v>70.7</v>
          </cell>
          <cell r="AS205">
            <v>73.2</v>
          </cell>
          <cell r="AT205">
            <v>75.7</v>
          </cell>
          <cell r="AU205">
            <v>78.2</v>
          </cell>
          <cell r="AV205">
            <v>62.4</v>
          </cell>
          <cell r="AW205">
            <v>64.900000000000006</v>
          </cell>
          <cell r="AX205">
            <v>50.4</v>
          </cell>
          <cell r="AY205">
            <v>52.9</v>
          </cell>
          <cell r="AZ205">
            <v>67.5</v>
          </cell>
          <cell r="BA205">
            <v>70</v>
          </cell>
          <cell r="BB205">
            <v>72.5</v>
          </cell>
          <cell r="BC205">
            <v>75</v>
          </cell>
          <cell r="BD205">
            <v>77.5</v>
          </cell>
          <cell r="BE205">
            <v>9.6</v>
          </cell>
          <cell r="BF205">
            <v>8.8000000000000007</v>
          </cell>
          <cell r="BG205">
            <v>8.3000000000000007</v>
          </cell>
          <cell r="BH205">
            <v>8</v>
          </cell>
          <cell r="BI205">
            <v>5.7</v>
          </cell>
          <cell r="BJ205">
            <v>7.2</v>
          </cell>
          <cell r="BK205">
            <v>6.4</v>
          </cell>
          <cell r="BL205">
            <v>5.6</v>
          </cell>
          <cell r="BM205">
            <v>4.8</v>
          </cell>
          <cell r="BN205">
            <v>36</v>
          </cell>
          <cell r="BO205">
            <v>46</v>
          </cell>
          <cell r="BP205">
            <v>42</v>
          </cell>
          <cell r="BQ205">
            <v>51</v>
          </cell>
          <cell r="BR205">
            <v>66.5</v>
          </cell>
          <cell r="BS205">
            <v>51</v>
          </cell>
          <cell r="BT205">
            <v>51</v>
          </cell>
          <cell r="BU205">
            <v>51</v>
          </cell>
          <cell r="BV205">
            <v>51</v>
          </cell>
          <cell r="BW205">
            <v>24</v>
          </cell>
          <cell r="BX205">
            <v>34</v>
          </cell>
          <cell r="BY205">
            <v>23</v>
          </cell>
          <cell r="BZ205">
            <v>33</v>
          </cell>
          <cell r="CA205">
            <v>75</v>
          </cell>
          <cell r="CB205">
            <v>51</v>
          </cell>
          <cell r="CC205">
            <v>51</v>
          </cell>
          <cell r="CD205">
            <v>51</v>
          </cell>
          <cell r="CE205">
            <v>51</v>
          </cell>
          <cell r="CF205">
            <v>9.9</v>
          </cell>
          <cell r="CG205">
            <v>8.9</v>
          </cell>
          <cell r="CH205">
            <v>1</v>
          </cell>
          <cell r="CI205">
            <v>0.9</v>
          </cell>
          <cell r="CJ205">
            <v>2.6</v>
          </cell>
          <cell r="CK205">
            <v>2.2999999999999998</v>
          </cell>
          <cell r="CL205">
            <v>2.1</v>
          </cell>
          <cell r="CM205">
            <v>1.9</v>
          </cell>
          <cell r="CN205">
            <v>1.7</v>
          </cell>
          <cell r="CO205">
            <v>41.9</v>
          </cell>
          <cell r="CP205">
            <v>37.700000000000003</v>
          </cell>
          <cell r="CQ205">
            <v>23.2</v>
          </cell>
          <cell r="CR205">
            <v>20.9</v>
          </cell>
          <cell r="CS205">
            <v>16.7</v>
          </cell>
          <cell r="CT205">
            <v>15</v>
          </cell>
          <cell r="CU205">
            <v>13.5</v>
          </cell>
          <cell r="CV205">
            <v>12.2</v>
          </cell>
          <cell r="CW205">
            <v>11</v>
          </cell>
          <cell r="CX205">
            <v>35.799999999999997</v>
          </cell>
          <cell r="CY205">
            <v>32.200000000000003</v>
          </cell>
          <cell r="CZ205">
            <v>18.2</v>
          </cell>
          <cell r="DA205">
            <v>16.399999999999999</v>
          </cell>
          <cell r="DB205">
            <v>19</v>
          </cell>
          <cell r="DC205">
            <v>17.100000000000001</v>
          </cell>
          <cell r="DD205">
            <v>15.4</v>
          </cell>
          <cell r="DE205">
            <v>13.9</v>
          </cell>
          <cell r="DF205">
            <v>12.5</v>
          </cell>
          <cell r="DG205">
            <v>4.4000000000000004</v>
          </cell>
          <cell r="DH205">
            <v>4.8</v>
          </cell>
          <cell r="DI205">
            <v>5.2</v>
          </cell>
          <cell r="DJ205">
            <v>5.7</v>
          </cell>
          <cell r="DK205">
            <v>15.6</v>
          </cell>
          <cell r="DL205">
            <v>17.2</v>
          </cell>
          <cell r="DM205">
            <v>18.899999999999999</v>
          </cell>
          <cell r="DN205">
            <v>20.8</v>
          </cell>
          <cell r="DO205">
            <v>22.8</v>
          </cell>
          <cell r="DP205">
            <v>5.8</v>
          </cell>
          <cell r="DQ205">
            <v>6.4</v>
          </cell>
          <cell r="DR205">
            <v>9.1</v>
          </cell>
          <cell r="DS205">
            <v>10</v>
          </cell>
          <cell r="DT205">
            <v>34.6</v>
          </cell>
          <cell r="DU205">
            <v>38.1</v>
          </cell>
          <cell r="DV205">
            <v>41.9</v>
          </cell>
          <cell r="DW205">
            <v>46.1</v>
          </cell>
          <cell r="DX205">
            <v>50.7</v>
          </cell>
          <cell r="DY205">
            <v>1.2</v>
          </cell>
          <cell r="DZ205">
            <v>1.3</v>
          </cell>
          <cell r="EA205">
            <v>0</v>
          </cell>
          <cell r="EB205">
            <v>1</v>
          </cell>
          <cell r="EC205">
            <v>0</v>
          </cell>
          <cell r="ED205">
            <v>1</v>
          </cell>
          <cell r="EE205">
            <v>1.1000000000000001</v>
          </cell>
          <cell r="EF205">
            <v>1.2</v>
          </cell>
          <cell r="EG205">
            <v>1.3</v>
          </cell>
        </row>
        <row r="206">
          <cell r="A206" t="str">
            <v>01490530All students</v>
          </cell>
          <cell r="B206" t="str">
            <v>01490530T</v>
          </cell>
          <cell r="C206" t="str">
            <v>0149</v>
          </cell>
          <cell r="D206" t="str">
            <v>01490530</v>
          </cell>
          <cell r="E206" t="str">
            <v>Lawrence</v>
          </cell>
          <cell r="F206" t="str">
            <v>Business Management &amp; Finance High School</v>
          </cell>
          <cell r="G206" t="str">
            <v>HS</v>
          </cell>
          <cell r="H206" t="str">
            <v>Lawrence - Business Management &amp; Finance High School (01490530)</v>
          </cell>
          <cell r="I206" t="str">
            <v>All students</v>
          </cell>
          <cell r="J206" t="str">
            <v>01490530All students</v>
          </cell>
          <cell r="K206" t="str">
            <v>Level 4</v>
          </cell>
          <cell r="L206">
            <v>72.7</v>
          </cell>
          <cell r="M206">
            <v>75</v>
          </cell>
          <cell r="N206">
            <v>90.2</v>
          </cell>
          <cell r="O206">
            <v>77.3</v>
          </cell>
          <cell r="P206">
            <v>90.5</v>
          </cell>
          <cell r="Q206">
            <v>79.5</v>
          </cell>
          <cell r="R206">
            <v>81.8</v>
          </cell>
          <cell r="S206">
            <v>84.1</v>
          </cell>
          <cell r="T206">
            <v>86.4</v>
          </cell>
          <cell r="U206">
            <v>50</v>
          </cell>
          <cell r="V206">
            <v>54.2</v>
          </cell>
          <cell r="W206">
            <v>68.2</v>
          </cell>
          <cell r="X206">
            <v>58.3</v>
          </cell>
          <cell r="Y206">
            <v>80.400000000000006</v>
          </cell>
          <cell r="Z206">
            <v>62.5</v>
          </cell>
          <cell r="AA206">
            <v>66.7</v>
          </cell>
          <cell r="AB206">
            <v>70.8</v>
          </cell>
          <cell r="AC206">
            <v>75</v>
          </cell>
          <cell r="AD206">
            <v>49.1</v>
          </cell>
          <cell r="AE206">
            <v>53.3</v>
          </cell>
          <cell r="AF206">
            <v>56.8</v>
          </cell>
          <cell r="AG206">
            <v>57.6</v>
          </cell>
          <cell r="AH206">
            <v>62.3</v>
          </cell>
          <cell r="AI206">
            <v>61.8</v>
          </cell>
          <cell r="AJ206">
            <v>66.099999999999994</v>
          </cell>
          <cell r="AK206">
            <v>70.3</v>
          </cell>
          <cell r="AL206">
            <v>74.599999999999994</v>
          </cell>
          <cell r="AM206">
            <v>44.1</v>
          </cell>
          <cell r="AN206">
            <v>46.6</v>
          </cell>
          <cell r="AO206">
            <v>65.3</v>
          </cell>
          <cell r="AP206">
            <v>67.8</v>
          </cell>
          <cell r="AQ206">
            <v>67</v>
          </cell>
          <cell r="AR206">
            <v>69.5</v>
          </cell>
          <cell r="AS206">
            <v>72</v>
          </cell>
          <cell r="AT206">
            <v>74.5</v>
          </cell>
          <cell r="AU206">
            <v>77</v>
          </cell>
          <cell r="AV206">
            <v>59.8</v>
          </cell>
          <cell r="AW206">
            <v>62.3</v>
          </cell>
          <cell r="AX206">
            <v>48.8</v>
          </cell>
          <cell r="AY206">
            <v>51.3</v>
          </cell>
          <cell r="AZ206">
            <v>66.900000000000006</v>
          </cell>
          <cell r="BA206">
            <v>69.400000000000006</v>
          </cell>
          <cell r="BB206">
            <v>71.900000000000006</v>
          </cell>
          <cell r="BC206">
            <v>74.400000000000006</v>
          </cell>
          <cell r="BD206">
            <v>76.900000000000006</v>
          </cell>
          <cell r="BE206">
            <v>9.8000000000000007</v>
          </cell>
          <cell r="BF206">
            <v>9</v>
          </cell>
          <cell r="BG206">
            <v>8.1</v>
          </cell>
          <cell r="BH206">
            <v>8.1999999999999993</v>
          </cell>
          <cell r="BI206">
            <v>5.6</v>
          </cell>
          <cell r="BJ206">
            <v>7.4</v>
          </cell>
          <cell r="BK206">
            <v>6.5</v>
          </cell>
          <cell r="BL206">
            <v>5.7</v>
          </cell>
          <cell r="BM206">
            <v>4.9000000000000004</v>
          </cell>
          <cell r="BN206">
            <v>36.5</v>
          </cell>
          <cell r="BO206">
            <v>46.5</v>
          </cell>
          <cell r="BP206">
            <v>42</v>
          </cell>
          <cell r="BQ206">
            <v>51</v>
          </cell>
          <cell r="BR206">
            <v>64</v>
          </cell>
          <cell r="BS206">
            <v>51</v>
          </cell>
          <cell r="BT206">
            <v>51</v>
          </cell>
          <cell r="BU206">
            <v>51</v>
          </cell>
          <cell r="BV206">
            <v>51</v>
          </cell>
          <cell r="BW206">
            <v>20</v>
          </cell>
          <cell r="BX206">
            <v>30</v>
          </cell>
          <cell r="BY206">
            <v>23</v>
          </cell>
          <cell r="BZ206">
            <v>33</v>
          </cell>
          <cell r="CA206">
            <v>75</v>
          </cell>
          <cell r="CB206">
            <v>51</v>
          </cell>
          <cell r="CC206">
            <v>51</v>
          </cell>
          <cell r="CD206">
            <v>51</v>
          </cell>
          <cell r="CE206">
            <v>51</v>
          </cell>
          <cell r="CF206">
            <v>9.4</v>
          </cell>
          <cell r="CG206">
            <v>8.5</v>
          </cell>
          <cell r="CH206">
            <v>1</v>
          </cell>
          <cell r="CI206">
            <v>0.9</v>
          </cell>
          <cell r="CJ206">
            <v>2.4</v>
          </cell>
          <cell r="CK206">
            <v>2.2000000000000002</v>
          </cell>
          <cell r="CL206">
            <v>1.9</v>
          </cell>
          <cell r="CM206">
            <v>1.7</v>
          </cell>
          <cell r="CN206">
            <v>1.6</v>
          </cell>
          <cell r="CO206">
            <v>41.8</v>
          </cell>
          <cell r="CP206">
            <v>37.6</v>
          </cell>
          <cell r="CQ206">
            <v>23.2</v>
          </cell>
          <cell r="CR206">
            <v>20.9</v>
          </cell>
          <cell r="CS206">
            <v>15.7</v>
          </cell>
          <cell r="CT206">
            <v>14.1</v>
          </cell>
          <cell r="CU206">
            <v>12.7</v>
          </cell>
          <cell r="CV206">
            <v>11.4</v>
          </cell>
          <cell r="CW206">
            <v>10.3</v>
          </cell>
          <cell r="CX206">
            <v>34.5</v>
          </cell>
          <cell r="CY206">
            <v>31.1</v>
          </cell>
          <cell r="CZ206">
            <v>18.2</v>
          </cell>
          <cell r="DA206">
            <v>16.399999999999999</v>
          </cell>
          <cell r="DB206">
            <v>19.399999999999999</v>
          </cell>
          <cell r="DC206">
            <v>17.5</v>
          </cell>
          <cell r="DD206">
            <v>15.7</v>
          </cell>
          <cell r="DE206">
            <v>14.1</v>
          </cell>
          <cell r="DF206">
            <v>12.7</v>
          </cell>
          <cell r="DG206">
            <v>4.2</v>
          </cell>
          <cell r="DH206">
            <v>4.5999999999999996</v>
          </cell>
          <cell r="DI206">
            <v>5.2</v>
          </cell>
          <cell r="DJ206">
            <v>5.7</v>
          </cell>
          <cell r="DK206">
            <v>14.6</v>
          </cell>
          <cell r="DL206">
            <v>16.100000000000001</v>
          </cell>
          <cell r="DM206">
            <v>17.7</v>
          </cell>
          <cell r="DN206">
            <v>19.399999999999999</v>
          </cell>
          <cell r="DO206">
            <v>21.4</v>
          </cell>
          <cell r="DP206">
            <v>5.5</v>
          </cell>
          <cell r="DQ206">
            <v>6.1</v>
          </cell>
          <cell r="DR206">
            <v>9.1</v>
          </cell>
          <cell r="DS206">
            <v>10</v>
          </cell>
          <cell r="DT206">
            <v>36.1</v>
          </cell>
          <cell r="DU206">
            <v>39.700000000000003</v>
          </cell>
          <cell r="DV206">
            <v>43.7</v>
          </cell>
          <cell r="DW206">
            <v>48</v>
          </cell>
          <cell r="DX206">
            <v>52.9</v>
          </cell>
          <cell r="DY206">
            <v>1.2</v>
          </cell>
          <cell r="DZ206">
            <v>1.3</v>
          </cell>
          <cell r="EA206">
            <v>0</v>
          </cell>
          <cell r="EB206">
            <v>1</v>
          </cell>
          <cell r="EC206">
            <v>0</v>
          </cell>
          <cell r="ED206">
            <v>1</v>
          </cell>
          <cell r="EE206">
            <v>1.1000000000000001</v>
          </cell>
          <cell r="EF206">
            <v>1.2</v>
          </cell>
          <cell r="EG206">
            <v>1.3</v>
          </cell>
        </row>
        <row r="207">
          <cell r="A207" t="str">
            <v>01490534Asian</v>
          </cell>
          <cell r="B207" t="str">
            <v>01490534A</v>
          </cell>
          <cell r="C207" t="str">
            <v>0149</v>
          </cell>
          <cell r="D207" t="str">
            <v>01490534</v>
          </cell>
          <cell r="E207" t="str">
            <v>Lawrence</v>
          </cell>
          <cell r="F207" t="str">
            <v>International High School</v>
          </cell>
          <cell r="G207" t="str">
            <v>HS</v>
          </cell>
          <cell r="H207" t="str">
            <v>Lawrence - International High School (01490534)</v>
          </cell>
          <cell r="I207" t="str">
            <v>Asian</v>
          </cell>
          <cell r="J207" t="str">
            <v>01490534Asian</v>
          </cell>
          <cell r="K207" t="str">
            <v>--</v>
          </cell>
          <cell r="L207" t="str">
            <v>--</v>
          </cell>
          <cell r="M207" t="str">
            <v>--</v>
          </cell>
          <cell r="N207" t="str">
            <v>--</v>
          </cell>
          <cell r="O207" t="str">
            <v>--</v>
          </cell>
          <cell r="P207" t="str">
            <v>--</v>
          </cell>
          <cell r="Q207" t="str">
            <v>--</v>
          </cell>
          <cell r="R207" t="str">
            <v>--</v>
          </cell>
          <cell r="S207" t="str">
            <v>--</v>
          </cell>
          <cell r="T207" t="str">
            <v>--</v>
          </cell>
          <cell r="U207" t="str">
            <v>--</v>
          </cell>
          <cell r="V207" t="str">
            <v>--</v>
          </cell>
          <cell r="W207" t="str">
            <v>--</v>
          </cell>
          <cell r="X207" t="str">
            <v>--</v>
          </cell>
          <cell r="Y207" t="str">
            <v>--</v>
          </cell>
          <cell r="Z207" t="str">
            <v>--</v>
          </cell>
          <cell r="AA207" t="str">
            <v>--</v>
          </cell>
          <cell r="AB207" t="str">
            <v>--</v>
          </cell>
          <cell r="AC207" t="str">
            <v>--</v>
          </cell>
          <cell r="AD207" t="str">
            <v>--</v>
          </cell>
          <cell r="AE207" t="str">
            <v>--</v>
          </cell>
          <cell r="AF207" t="str">
            <v>--</v>
          </cell>
          <cell r="AG207" t="str">
            <v>--</v>
          </cell>
          <cell r="AH207" t="str">
            <v>--</v>
          </cell>
          <cell r="AI207" t="str">
            <v>--</v>
          </cell>
          <cell r="AJ207" t="str">
            <v>--</v>
          </cell>
          <cell r="AK207" t="str">
            <v>--</v>
          </cell>
          <cell r="AL207" t="str">
            <v>--</v>
          </cell>
          <cell r="AM207" t="str">
            <v>--</v>
          </cell>
          <cell r="AN207" t="str">
            <v>--</v>
          </cell>
          <cell r="AO207" t="str">
            <v>--</v>
          </cell>
          <cell r="AP207" t="str">
            <v>--</v>
          </cell>
          <cell r="AQ207" t="str">
            <v>--</v>
          </cell>
          <cell r="AR207" t="str">
            <v>--</v>
          </cell>
          <cell r="AS207" t="str">
            <v>--</v>
          </cell>
          <cell r="AT207" t="str">
            <v>--</v>
          </cell>
          <cell r="AU207" t="str">
            <v>--</v>
          </cell>
          <cell r="AV207" t="str">
            <v>--</v>
          </cell>
          <cell r="AW207" t="str">
            <v>--</v>
          </cell>
          <cell r="AX207" t="str">
            <v>--</v>
          </cell>
          <cell r="AY207" t="str">
            <v>--</v>
          </cell>
          <cell r="AZ207" t="str">
            <v>--</v>
          </cell>
          <cell r="BA207" t="str">
            <v>--</v>
          </cell>
          <cell r="BB207" t="str">
            <v>--</v>
          </cell>
          <cell r="BC207" t="str">
            <v>--</v>
          </cell>
          <cell r="BD207" t="str">
            <v>--</v>
          </cell>
          <cell r="BE207" t="str">
            <v>--</v>
          </cell>
          <cell r="BF207" t="str">
            <v>--</v>
          </cell>
          <cell r="BG207" t="str">
            <v>--</v>
          </cell>
          <cell r="BH207" t="str">
            <v>--</v>
          </cell>
          <cell r="BI207" t="str">
            <v>--</v>
          </cell>
          <cell r="BJ207" t="str">
            <v>--</v>
          </cell>
          <cell r="BK207" t="str">
            <v>--</v>
          </cell>
          <cell r="BL207" t="str">
            <v>--</v>
          </cell>
          <cell r="BM207" t="str">
            <v>--</v>
          </cell>
          <cell r="BN207" t="str">
            <v>--</v>
          </cell>
          <cell r="BO207" t="str">
            <v>--</v>
          </cell>
          <cell r="BP207" t="str">
            <v>--</v>
          </cell>
          <cell r="BQ207" t="str">
            <v>--</v>
          </cell>
          <cell r="BR207" t="str">
            <v>--</v>
          </cell>
          <cell r="BS207" t="str">
            <v>--</v>
          </cell>
          <cell r="BT207" t="str">
            <v>--</v>
          </cell>
          <cell r="BU207" t="str">
            <v>--</v>
          </cell>
          <cell r="BV207" t="str">
            <v>--</v>
          </cell>
          <cell r="BW207" t="str">
            <v>--</v>
          </cell>
          <cell r="BX207" t="str">
            <v>--</v>
          </cell>
          <cell r="BY207" t="str">
            <v>--</v>
          </cell>
          <cell r="BZ207" t="str">
            <v>--</v>
          </cell>
          <cell r="CA207" t="str">
            <v>--</v>
          </cell>
          <cell r="CB207" t="str">
            <v>--</v>
          </cell>
          <cell r="CC207" t="str">
            <v>--</v>
          </cell>
          <cell r="CD207" t="str">
            <v>--</v>
          </cell>
          <cell r="CE207" t="str">
            <v>--</v>
          </cell>
          <cell r="CF207" t="str">
            <v>--</v>
          </cell>
          <cell r="CG207" t="str">
            <v>--</v>
          </cell>
          <cell r="CH207" t="str">
            <v>--</v>
          </cell>
          <cell r="CI207" t="str">
            <v>--</v>
          </cell>
          <cell r="CJ207" t="str">
            <v>--</v>
          </cell>
          <cell r="CK207" t="str">
            <v>--</v>
          </cell>
          <cell r="CL207" t="str">
            <v>--</v>
          </cell>
          <cell r="CM207" t="str">
            <v>--</v>
          </cell>
          <cell r="CN207" t="str">
            <v>--</v>
          </cell>
          <cell r="CO207" t="str">
            <v>--</v>
          </cell>
          <cell r="CP207" t="str">
            <v>--</v>
          </cell>
          <cell r="CQ207" t="str">
            <v>--</v>
          </cell>
          <cell r="CR207" t="str">
            <v>--</v>
          </cell>
          <cell r="CS207" t="str">
            <v>--</v>
          </cell>
          <cell r="CT207" t="str">
            <v>--</v>
          </cell>
          <cell r="CU207" t="str">
            <v>--</v>
          </cell>
          <cell r="CV207" t="str">
            <v>--</v>
          </cell>
          <cell r="CW207" t="str">
            <v>--</v>
          </cell>
          <cell r="CX207" t="str">
            <v>--</v>
          </cell>
          <cell r="CY207" t="str">
            <v>--</v>
          </cell>
          <cell r="CZ207" t="str">
            <v>--</v>
          </cell>
          <cell r="DA207" t="str">
            <v>--</v>
          </cell>
          <cell r="DB207" t="str">
            <v>--</v>
          </cell>
          <cell r="DC207" t="str">
            <v>--</v>
          </cell>
          <cell r="DD207" t="str">
            <v>--</v>
          </cell>
          <cell r="DE207" t="str">
            <v>--</v>
          </cell>
          <cell r="DF207" t="str">
            <v>--</v>
          </cell>
          <cell r="DG207" t="str">
            <v>--</v>
          </cell>
          <cell r="DH207" t="str">
            <v>--</v>
          </cell>
          <cell r="DI207" t="str">
            <v>--</v>
          </cell>
          <cell r="DJ207" t="str">
            <v>--</v>
          </cell>
          <cell r="DK207" t="str">
            <v>--</v>
          </cell>
          <cell r="DL207" t="str">
            <v>--</v>
          </cell>
          <cell r="DM207" t="str">
            <v>--</v>
          </cell>
          <cell r="DN207" t="str">
            <v>--</v>
          </cell>
          <cell r="DO207" t="str">
            <v>--</v>
          </cell>
          <cell r="DP207" t="str">
            <v>--</v>
          </cell>
          <cell r="DQ207" t="str">
            <v>--</v>
          </cell>
          <cell r="DR207" t="str">
            <v>--</v>
          </cell>
          <cell r="DS207" t="str">
            <v>--</v>
          </cell>
          <cell r="DT207" t="str">
            <v>--</v>
          </cell>
          <cell r="DU207" t="str">
            <v>--</v>
          </cell>
          <cell r="DV207" t="str">
            <v>--</v>
          </cell>
          <cell r="DW207" t="str">
            <v>--</v>
          </cell>
          <cell r="DX207" t="str">
            <v>--</v>
          </cell>
          <cell r="DY207" t="str">
            <v>--</v>
          </cell>
          <cell r="DZ207" t="str">
            <v>--</v>
          </cell>
          <cell r="EA207" t="str">
            <v>--</v>
          </cell>
          <cell r="EB207" t="str">
            <v>--</v>
          </cell>
          <cell r="EC207" t="str">
            <v>--</v>
          </cell>
          <cell r="ED207" t="str">
            <v>--</v>
          </cell>
          <cell r="EE207" t="str">
            <v>--</v>
          </cell>
          <cell r="EF207" t="str">
            <v>--</v>
          </cell>
          <cell r="EG207" t="str">
            <v>--</v>
          </cell>
        </row>
        <row r="208">
          <cell r="A208" t="str">
            <v>01490534Afr. Amer/Black</v>
          </cell>
          <cell r="B208" t="str">
            <v>01490534B</v>
          </cell>
          <cell r="C208" t="str">
            <v>0149</v>
          </cell>
          <cell r="D208" t="str">
            <v>01490534</v>
          </cell>
          <cell r="E208" t="str">
            <v>Lawrence</v>
          </cell>
          <cell r="F208" t="str">
            <v>International High School</v>
          </cell>
          <cell r="G208" t="str">
            <v>HS</v>
          </cell>
          <cell r="H208" t="str">
            <v>Lawrence - International High School (01490534)</v>
          </cell>
          <cell r="I208" t="str">
            <v>Afr. Amer/Black</v>
          </cell>
          <cell r="J208" t="str">
            <v>01490534Afr. Amer/Black</v>
          </cell>
          <cell r="K208" t="str">
            <v>--</v>
          </cell>
          <cell r="L208" t="str">
            <v>--</v>
          </cell>
          <cell r="M208" t="str">
            <v>--</v>
          </cell>
          <cell r="N208" t="str">
            <v>--</v>
          </cell>
          <cell r="O208" t="str">
            <v>--</v>
          </cell>
          <cell r="P208" t="str">
            <v>--</v>
          </cell>
          <cell r="Q208" t="str">
            <v>--</v>
          </cell>
          <cell r="R208" t="str">
            <v>--</v>
          </cell>
          <cell r="S208" t="str">
            <v>--</v>
          </cell>
          <cell r="T208" t="str">
            <v>--</v>
          </cell>
          <cell r="U208" t="str">
            <v>--</v>
          </cell>
          <cell r="V208" t="str">
            <v>--</v>
          </cell>
          <cell r="W208" t="str">
            <v>--</v>
          </cell>
          <cell r="X208" t="str">
            <v>--</v>
          </cell>
          <cell r="Y208" t="str">
            <v>--</v>
          </cell>
          <cell r="Z208" t="str">
            <v>--</v>
          </cell>
          <cell r="AA208" t="str">
            <v>--</v>
          </cell>
          <cell r="AB208" t="str">
            <v>--</v>
          </cell>
          <cell r="AC208" t="str">
            <v>--</v>
          </cell>
          <cell r="AD208" t="str">
            <v>--</v>
          </cell>
          <cell r="AE208" t="str">
            <v>--</v>
          </cell>
          <cell r="AF208" t="str">
            <v>--</v>
          </cell>
          <cell r="AG208" t="str">
            <v>--</v>
          </cell>
          <cell r="AH208" t="str">
            <v>--</v>
          </cell>
          <cell r="AI208" t="str">
            <v>--</v>
          </cell>
          <cell r="AJ208" t="str">
            <v>--</v>
          </cell>
          <cell r="AK208" t="str">
            <v>--</v>
          </cell>
          <cell r="AL208" t="str">
            <v>--</v>
          </cell>
          <cell r="AM208" t="str">
            <v>--</v>
          </cell>
          <cell r="AN208" t="str">
            <v>--</v>
          </cell>
          <cell r="AO208" t="str">
            <v>--</v>
          </cell>
          <cell r="AP208" t="str">
            <v>--</v>
          </cell>
          <cell r="AQ208" t="str">
            <v>--</v>
          </cell>
          <cell r="AR208" t="str">
            <v>--</v>
          </cell>
          <cell r="AS208" t="str">
            <v>--</v>
          </cell>
          <cell r="AT208" t="str">
            <v>--</v>
          </cell>
          <cell r="AU208" t="str">
            <v>--</v>
          </cell>
          <cell r="AV208" t="str">
            <v>--</v>
          </cell>
          <cell r="AW208" t="str">
            <v>--</v>
          </cell>
          <cell r="AX208" t="str">
            <v>--</v>
          </cell>
          <cell r="AY208" t="str">
            <v>--</v>
          </cell>
          <cell r="AZ208" t="str">
            <v>--</v>
          </cell>
          <cell r="BA208" t="str">
            <v>--</v>
          </cell>
          <cell r="BB208" t="str">
            <v>--</v>
          </cell>
          <cell r="BC208" t="str">
            <v>--</v>
          </cell>
          <cell r="BD208" t="str">
            <v>--</v>
          </cell>
          <cell r="BE208" t="str">
            <v>--</v>
          </cell>
          <cell r="BF208" t="str">
            <v>--</v>
          </cell>
          <cell r="BG208" t="str">
            <v>--</v>
          </cell>
          <cell r="BH208" t="str">
            <v>--</v>
          </cell>
          <cell r="BI208" t="str">
            <v>--</v>
          </cell>
          <cell r="BJ208" t="str">
            <v>--</v>
          </cell>
          <cell r="BK208" t="str">
            <v>--</v>
          </cell>
          <cell r="BL208" t="str">
            <v>--</v>
          </cell>
          <cell r="BM208" t="str">
            <v>--</v>
          </cell>
          <cell r="BN208" t="str">
            <v>--</v>
          </cell>
          <cell r="BO208" t="str">
            <v>--</v>
          </cell>
          <cell r="BP208" t="str">
            <v>--</v>
          </cell>
          <cell r="BQ208" t="str">
            <v>--</v>
          </cell>
          <cell r="BR208" t="str">
            <v>--</v>
          </cell>
          <cell r="BS208" t="str">
            <v>--</v>
          </cell>
          <cell r="BT208" t="str">
            <v>--</v>
          </cell>
          <cell r="BU208" t="str">
            <v>--</v>
          </cell>
          <cell r="BV208" t="str">
            <v>--</v>
          </cell>
          <cell r="BW208" t="str">
            <v>--</v>
          </cell>
          <cell r="BX208" t="str">
            <v>--</v>
          </cell>
          <cell r="BY208" t="str">
            <v>--</v>
          </cell>
          <cell r="BZ208" t="str">
            <v>--</v>
          </cell>
          <cell r="CA208" t="str">
            <v>--</v>
          </cell>
          <cell r="CB208" t="str">
            <v>--</v>
          </cell>
          <cell r="CC208" t="str">
            <v>--</v>
          </cell>
          <cell r="CD208" t="str">
            <v>--</v>
          </cell>
          <cell r="CE208" t="str">
            <v>--</v>
          </cell>
          <cell r="CF208" t="str">
            <v>--</v>
          </cell>
          <cell r="CG208" t="str">
            <v>--</v>
          </cell>
          <cell r="CH208" t="str">
            <v>--</v>
          </cell>
          <cell r="CI208" t="str">
            <v>--</v>
          </cell>
          <cell r="CJ208" t="str">
            <v>--</v>
          </cell>
          <cell r="CK208" t="str">
            <v>--</v>
          </cell>
          <cell r="CL208" t="str">
            <v>--</v>
          </cell>
          <cell r="CM208" t="str">
            <v>--</v>
          </cell>
          <cell r="CN208" t="str">
            <v>--</v>
          </cell>
          <cell r="CO208" t="str">
            <v>--</v>
          </cell>
          <cell r="CP208" t="str">
            <v>--</v>
          </cell>
          <cell r="CQ208" t="str">
            <v>--</v>
          </cell>
          <cell r="CR208" t="str">
            <v>--</v>
          </cell>
          <cell r="CS208" t="str">
            <v>--</v>
          </cell>
          <cell r="CT208" t="str">
            <v>--</v>
          </cell>
          <cell r="CU208" t="str">
            <v>--</v>
          </cell>
          <cell r="CV208" t="str">
            <v>--</v>
          </cell>
          <cell r="CW208" t="str">
            <v>--</v>
          </cell>
          <cell r="CX208" t="str">
            <v>--</v>
          </cell>
          <cell r="CY208" t="str">
            <v>--</v>
          </cell>
          <cell r="CZ208" t="str">
            <v>--</v>
          </cell>
          <cell r="DA208" t="str">
            <v>--</v>
          </cell>
          <cell r="DB208" t="str">
            <v>--</v>
          </cell>
          <cell r="DC208" t="str">
            <v>--</v>
          </cell>
          <cell r="DD208" t="str">
            <v>--</v>
          </cell>
          <cell r="DE208" t="str">
            <v>--</v>
          </cell>
          <cell r="DF208" t="str">
            <v>--</v>
          </cell>
          <cell r="DG208" t="str">
            <v>--</v>
          </cell>
          <cell r="DH208" t="str">
            <v>--</v>
          </cell>
          <cell r="DI208" t="str">
            <v>--</v>
          </cell>
          <cell r="DJ208" t="str">
            <v>--</v>
          </cell>
          <cell r="DK208" t="str">
            <v>--</v>
          </cell>
          <cell r="DL208" t="str">
            <v>--</v>
          </cell>
          <cell r="DM208" t="str">
            <v>--</v>
          </cell>
          <cell r="DN208" t="str">
            <v>--</v>
          </cell>
          <cell r="DO208" t="str">
            <v>--</v>
          </cell>
          <cell r="DP208" t="str">
            <v>--</v>
          </cell>
          <cell r="DQ208" t="str">
            <v>--</v>
          </cell>
          <cell r="DR208" t="str">
            <v>--</v>
          </cell>
          <cell r="DS208" t="str">
            <v>--</v>
          </cell>
          <cell r="DT208" t="str">
            <v>--</v>
          </cell>
          <cell r="DU208" t="str">
            <v>--</v>
          </cell>
          <cell r="DV208" t="str">
            <v>--</v>
          </cell>
          <cell r="DW208" t="str">
            <v>--</v>
          </cell>
          <cell r="DX208" t="str">
            <v>--</v>
          </cell>
          <cell r="DY208" t="str">
            <v>--</v>
          </cell>
          <cell r="DZ208" t="str">
            <v>--</v>
          </cell>
          <cell r="EA208" t="str">
            <v>--</v>
          </cell>
          <cell r="EB208" t="str">
            <v>--</v>
          </cell>
          <cell r="EC208" t="str">
            <v>--</v>
          </cell>
          <cell r="ED208" t="str">
            <v>--</v>
          </cell>
          <cell r="EE208" t="str">
            <v>--</v>
          </cell>
          <cell r="EF208" t="str">
            <v>--</v>
          </cell>
          <cell r="EG208" t="str">
            <v>--</v>
          </cell>
        </row>
        <row r="209">
          <cell r="A209" t="str">
            <v>01490534White</v>
          </cell>
          <cell r="B209" t="str">
            <v>01490534C</v>
          </cell>
          <cell r="C209" t="str">
            <v>0149</v>
          </cell>
          <cell r="D209" t="str">
            <v>01490534</v>
          </cell>
          <cell r="E209" t="str">
            <v>Lawrence</v>
          </cell>
          <cell r="F209" t="str">
            <v>International High School</v>
          </cell>
          <cell r="G209" t="str">
            <v>HS</v>
          </cell>
          <cell r="H209" t="str">
            <v>Lawrence - International High School (01490534)</v>
          </cell>
          <cell r="I209" t="str">
            <v>White</v>
          </cell>
          <cell r="J209" t="str">
            <v>01490534White</v>
          </cell>
          <cell r="K209" t="str">
            <v>--</v>
          </cell>
          <cell r="L209" t="str">
            <v>--</v>
          </cell>
          <cell r="M209" t="str">
            <v>--</v>
          </cell>
          <cell r="N209" t="str">
            <v>--</v>
          </cell>
          <cell r="O209" t="str">
            <v>--</v>
          </cell>
          <cell r="P209" t="str">
            <v>--</v>
          </cell>
          <cell r="Q209" t="str">
            <v>--</v>
          </cell>
          <cell r="R209" t="str">
            <v>--</v>
          </cell>
          <cell r="S209" t="str">
            <v>--</v>
          </cell>
          <cell r="T209" t="str">
            <v>--</v>
          </cell>
          <cell r="U209" t="str">
            <v>--</v>
          </cell>
          <cell r="V209" t="str">
            <v>--</v>
          </cell>
          <cell r="W209" t="str">
            <v>--</v>
          </cell>
          <cell r="X209" t="str">
            <v>--</v>
          </cell>
          <cell r="Y209" t="str">
            <v>--</v>
          </cell>
          <cell r="Z209" t="str">
            <v>--</v>
          </cell>
          <cell r="AA209" t="str">
            <v>--</v>
          </cell>
          <cell r="AB209" t="str">
            <v>--</v>
          </cell>
          <cell r="AC209" t="str">
            <v>--</v>
          </cell>
          <cell r="AD209" t="str">
            <v>--</v>
          </cell>
          <cell r="AE209" t="str">
            <v>--</v>
          </cell>
          <cell r="AF209" t="str">
            <v>--</v>
          </cell>
          <cell r="AG209" t="str">
            <v>--</v>
          </cell>
          <cell r="AH209" t="str">
            <v>--</v>
          </cell>
          <cell r="AI209" t="str">
            <v>--</v>
          </cell>
          <cell r="AJ209" t="str">
            <v>--</v>
          </cell>
          <cell r="AK209" t="str">
            <v>--</v>
          </cell>
          <cell r="AL209" t="str">
            <v>--</v>
          </cell>
          <cell r="AM209" t="str">
            <v>--</v>
          </cell>
          <cell r="AN209" t="str">
            <v>--</v>
          </cell>
          <cell r="AO209" t="str">
            <v>--</v>
          </cell>
          <cell r="AP209" t="str">
            <v>--</v>
          </cell>
          <cell r="AQ209" t="str">
            <v>--</v>
          </cell>
          <cell r="AR209" t="str">
            <v>--</v>
          </cell>
          <cell r="AS209" t="str">
            <v>--</v>
          </cell>
          <cell r="AT209" t="str">
            <v>--</v>
          </cell>
          <cell r="AU209" t="str">
            <v>--</v>
          </cell>
          <cell r="AV209" t="str">
            <v>--</v>
          </cell>
          <cell r="AW209" t="str">
            <v>--</v>
          </cell>
          <cell r="AX209" t="str">
            <v>--</v>
          </cell>
          <cell r="AY209" t="str">
            <v>--</v>
          </cell>
          <cell r="AZ209" t="str">
            <v>--</v>
          </cell>
          <cell r="BA209" t="str">
            <v>--</v>
          </cell>
          <cell r="BB209" t="str">
            <v>--</v>
          </cell>
          <cell r="BC209" t="str">
            <v>--</v>
          </cell>
          <cell r="BD209" t="str">
            <v>--</v>
          </cell>
          <cell r="BE209" t="str">
            <v>--</v>
          </cell>
          <cell r="BF209" t="str">
            <v>--</v>
          </cell>
          <cell r="BG209" t="str">
            <v>--</v>
          </cell>
          <cell r="BH209" t="str">
            <v>--</v>
          </cell>
          <cell r="BI209" t="str">
            <v>--</v>
          </cell>
          <cell r="BJ209" t="str">
            <v>--</v>
          </cell>
          <cell r="BK209" t="str">
            <v>--</v>
          </cell>
          <cell r="BL209" t="str">
            <v>--</v>
          </cell>
          <cell r="BM209" t="str">
            <v>--</v>
          </cell>
          <cell r="BN209" t="str">
            <v>--</v>
          </cell>
          <cell r="BO209" t="str">
            <v>--</v>
          </cell>
          <cell r="BP209" t="str">
            <v>--</v>
          </cell>
          <cell r="BQ209" t="str">
            <v>--</v>
          </cell>
          <cell r="BR209" t="str">
            <v>--</v>
          </cell>
          <cell r="BS209" t="str">
            <v>--</v>
          </cell>
          <cell r="BT209" t="str">
            <v>--</v>
          </cell>
          <cell r="BU209" t="str">
            <v>--</v>
          </cell>
          <cell r="BV209" t="str">
            <v>--</v>
          </cell>
          <cell r="BW209" t="str">
            <v>--</v>
          </cell>
          <cell r="BX209" t="str">
            <v>--</v>
          </cell>
          <cell r="BY209" t="str">
            <v>--</v>
          </cell>
          <cell r="BZ209" t="str">
            <v>--</v>
          </cell>
          <cell r="CA209" t="str">
            <v>--</v>
          </cell>
          <cell r="CB209" t="str">
            <v>--</v>
          </cell>
          <cell r="CC209" t="str">
            <v>--</v>
          </cell>
          <cell r="CD209" t="str">
            <v>--</v>
          </cell>
          <cell r="CE209" t="str">
            <v>--</v>
          </cell>
          <cell r="CF209" t="str">
            <v>--</v>
          </cell>
          <cell r="CG209" t="str">
            <v>--</v>
          </cell>
          <cell r="CH209" t="str">
            <v>--</v>
          </cell>
          <cell r="CI209" t="str">
            <v>--</v>
          </cell>
          <cell r="CJ209" t="str">
            <v>--</v>
          </cell>
          <cell r="CK209" t="str">
            <v>--</v>
          </cell>
          <cell r="CL209" t="str">
            <v>--</v>
          </cell>
          <cell r="CM209" t="str">
            <v>--</v>
          </cell>
          <cell r="CN209" t="str">
            <v>--</v>
          </cell>
          <cell r="CO209" t="str">
            <v>--</v>
          </cell>
          <cell r="CP209" t="str">
            <v>--</v>
          </cell>
          <cell r="CQ209" t="str">
            <v>--</v>
          </cell>
          <cell r="CR209" t="str">
            <v>--</v>
          </cell>
          <cell r="CS209" t="str">
            <v>--</v>
          </cell>
          <cell r="CT209" t="str">
            <v>--</v>
          </cell>
          <cell r="CU209" t="str">
            <v>--</v>
          </cell>
          <cell r="CV209" t="str">
            <v>--</v>
          </cell>
          <cell r="CW209" t="str">
            <v>--</v>
          </cell>
          <cell r="CX209" t="str">
            <v>--</v>
          </cell>
          <cell r="CY209" t="str">
            <v>--</v>
          </cell>
          <cell r="CZ209" t="str">
            <v>--</v>
          </cell>
          <cell r="DA209" t="str">
            <v>--</v>
          </cell>
          <cell r="DB209" t="str">
            <v>--</v>
          </cell>
          <cell r="DC209" t="str">
            <v>--</v>
          </cell>
          <cell r="DD209" t="str">
            <v>--</v>
          </cell>
          <cell r="DE209" t="str">
            <v>--</v>
          </cell>
          <cell r="DF209" t="str">
            <v>--</v>
          </cell>
          <cell r="DG209" t="str">
            <v>--</v>
          </cell>
          <cell r="DH209" t="str">
            <v>--</v>
          </cell>
          <cell r="DI209" t="str">
            <v>--</v>
          </cell>
          <cell r="DJ209" t="str">
            <v>--</v>
          </cell>
          <cell r="DK209" t="str">
            <v>--</v>
          </cell>
          <cell r="DL209" t="str">
            <v>--</v>
          </cell>
          <cell r="DM209" t="str">
            <v>--</v>
          </cell>
          <cell r="DN209" t="str">
            <v>--</v>
          </cell>
          <cell r="DO209" t="str">
            <v>--</v>
          </cell>
          <cell r="DP209" t="str">
            <v>--</v>
          </cell>
          <cell r="DQ209" t="str">
            <v>--</v>
          </cell>
          <cell r="DR209" t="str">
            <v>--</v>
          </cell>
          <cell r="DS209" t="str">
            <v>--</v>
          </cell>
          <cell r="DT209" t="str">
            <v>--</v>
          </cell>
          <cell r="DU209" t="str">
            <v>--</v>
          </cell>
          <cell r="DV209" t="str">
            <v>--</v>
          </cell>
          <cell r="DW209" t="str">
            <v>--</v>
          </cell>
          <cell r="DX209" t="str">
            <v>--</v>
          </cell>
          <cell r="DY209" t="str">
            <v>--</v>
          </cell>
          <cell r="DZ209" t="str">
            <v>--</v>
          </cell>
          <cell r="EA209" t="str">
            <v>--</v>
          </cell>
          <cell r="EB209" t="str">
            <v>--</v>
          </cell>
          <cell r="EC209" t="str">
            <v>--</v>
          </cell>
          <cell r="ED209" t="str">
            <v>--</v>
          </cell>
          <cell r="EE209" t="str">
            <v>--</v>
          </cell>
          <cell r="EF209" t="str">
            <v>--</v>
          </cell>
          <cell r="EG209" t="str">
            <v>--</v>
          </cell>
        </row>
        <row r="210">
          <cell r="A210" t="str">
            <v>01490534Students w/disabilities</v>
          </cell>
          <cell r="B210" t="str">
            <v>01490534D</v>
          </cell>
          <cell r="C210" t="str">
            <v>0149</v>
          </cell>
          <cell r="D210" t="str">
            <v>01490534</v>
          </cell>
          <cell r="E210" t="str">
            <v>Lawrence</v>
          </cell>
          <cell r="F210" t="str">
            <v>International High School</v>
          </cell>
          <cell r="G210" t="str">
            <v>HS</v>
          </cell>
          <cell r="H210" t="str">
            <v>Lawrence - International High School (01490534)</v>
          </cell>
          <cell r="I210" t="str">
            <v>Students w/disabilities</v>
          </cell>
          <cell r="J210" t="str">
            <v>01490534Students w/disabilities</v>
          </cell>
          <cell r="K210" t="str">
            <v>--</v>
          </cell>
          <cell r="L210" t="str">
            <v>--</v>
          </cell>
          <cell r="M210" t="str">
            <v>--</v>
          </cell>
          <cell r="N210" t="str">
            <v>--</v>
          </cell>
          <cell r="O210" t="str">
            <v>--</v>
          </cell>
          <cell r="P210" t="str">
            <v>--</v>
          </cell>
          <cell r="Q210" t="str">
            <v>--</v>
          </cell>
          <cell r="R210" t="str">
            <v>--</v>
          </cell>
          <cell r="S210" t="str">
            <v>--</v>
          </cell>
          <cell r="T210" t="str">
            <v>--</v>
          </cell>
          <cell r="U210" t="str">
            <v>--</v>
          </cell>
          <cell r="V210" t="str">
            <v>--</v>
          </cell>
          <cell r="W210" t="str">
            <v>--</v>
          </cell>
          <cell r="X210" t="str">
            <v>--</v>
          </cell>
          <cell r="Y210" t="str">
            <v>--</v>
          </cell>
          <cell r="Z210" t="str">
            <v>--</v>
          </cell>
          <cell r="AA210" t="str">
            <v>--</v>
          </cell>
          <cell r="AB210" t="str">
            <v>--</v>
          </cell>
          <cell r="AC210" t="str">
            <v>--</v>
          </cell>
          <cell r="AD210" t="str">
            <v>--</v>
          </cell>
          <cell r="AE210" t="str">
            <v>--</v>
          </cell>
          <cell r="AF210" t="str">
            <v>--</v>
          </cell>
          <cell r="AG210" t="str">
            <v>--</v>
          </cell>
          <cell r="AH210" t="str">
            <v>--</v>
          </cell>
          <cell r="AI210" t="str">
            <v>--</v>
          </cell>
          <cell r="AJ210" t="str">
            <v>--</v>
          </cell>
          <cell r="AK210" t="str">
            <v>--</v>
          </cell>
          <cell r="AL210" t="str">
            <v>--</v>
          </cell>
          <cell r="AM210" t="str">
            <v>--</v>
          </cell>
          <cell r="AN210" t="str">
            <v>--</v>
          </cell>
          <cell r="AO210" t="str">
            <v>--</v>
          </cell>
          <cell r="AP210" t="str">
            <v>--</v>
          </cell>
          <cell r="AQ210" t="str">
            <v>--</v>
          </cell>
          <cell r="AR210" t="str">
            <v>--</v>
          </cell>
          <cell r="AS210" t="str">
            <v>--</v>
          </cell>
          <cell r="AT210" t="str">
            <v>--</v>
          </cell>
          <cell r="AU210" t="str">
            <v>--</v>
          </cell>
          <cell r="AV210" t="str">
            <v>--</v>
          </cell>
          <cell r="AW210" t="str">
            <v>--</v>
          </cell>
          <cell r="AX210" t="str">
            <v>--</v>
          </cell>
          <cell r="AY210" t="str">
            <v>--</v>
          </cell>
          <cell r="AZ210" t="str">
            <v>--</v>
          </cell>
          <cell r="BA210" t="str">
            <v>--</v>
          </cell>
          <cell r="BB210" t="str">
            <v>--</v>
          </cell>
          <cell r="BC210" t="str">
            <v>--</v>
          </cell>
          <cell r="BD210" t="str">
            <v>--</v>
          </cell>
          <cell r="BE210">
            <v>15.4</v>
          </cell>
          <cell r="BF210">
            <v>14.1</v>
          </cell>
          <cell r="BG210">
            <v>10.3</v>
          </cell>
          <cell r="BH210">
            <v>12.8</v>
          </cell>
          <cell r="BI210">
            <v>13.5</v>
          </cell>
          <cell r="BJ210">
            <v>11.6</v>
          </cell>
          <cell r="BK210">
            <v>10.3</v>
          </cell>
          <cell r="BL210">
            <v>9</v>
          </cell>
          <cell r="BM210">
            <v>7.7</v>
          </cell>
          <cell r="BN210" t="str">
            <v>--</v>
          </cell>
          <cell r="BO210" t="str">
            <v>--</v>
          </cell>
          <cell r="BP210" t="str">
            <v>--</v>
          </cell>
          <cell r="BQ210" t="str">
            <v>--</v>
          </cell>
          <cell r="BR210" t="str">
            <v>--</v>
          </cell>
          <cell r="BS210" t="str">
            <v>--</v>
          </cell>
          <cell r="BT210" t="str">
            <v>--</v>
          </cell>
          <cell r="BU210" t="str">
            <v>--</v>
          </cell>
          <cell r="BV210" t="str">
            <v>--</v>
          </cell>
          <cell r="BW210" t="str">
            <v>--</v>
          </cell>
          <cell r="BX210" t="str">
            <v>--</v>
          </cell>
          <cell r="BY210" t="str">
            <v>--</v>
          </cell>
          <cell r="BZ210" t="str">
            <v>--</v>
          </cell>
          <cell r="CA210" t="str">
            <v>--</v>
          </cell>
          <cell r="CB210" t="str">
            <v>--</v>
          </cell>
          <cell r="CC210" t="str">
            <v>--</v>
          </cell>
          <cell r="CD210" t="str">
            <v>--</v>
          </cell>
          <cell r="CE210" t="str">
            <v>--</v>
          </cell>
          <cell r="CF210" t="str">
            <v>--</v>
          </cell>
          <cell r="CG210" t="str">
            <v>--</v>
          </cell>
          <cell r="CH210" t="str">
            <v>--</v>
          </cell>
          <cell r="CI210" t="str">
            <v>--</v>
          </cell>
          <cell r="CJ210" t="str">
            <v>--</v>
          </cell>
          <cell r="CK210" t="str">
            <v>--</v>
          </cell>
          <cell r="CL210" t="str">
            <v>--</v>
          </cell>
          <cell r="CM210" t="str">
            <v>--</v>
          </cell>
          <cell r="CN210" t="str">
            <v>--</v>
          </cell>
          <cell r="CO210" t="str">
            <v>--</v>
          </cell>
          <cell r="CP210" t="str">
            <v>--</v>
          </cell>
          <cell r="CQ210" t="str">
            <v>--</v>
          </cell>
          <cell r="CR210" t="str">
            <v>--</v>
          </cell>
          <cell r="CS210" t="str">
            <v>--</v>
          </cell>
          <cell r="CT210" t="str">
            <v>--</v>
          </cell>
          <cell r="CU210" t="str">
            <v>--</v>
          </cell>
          <cell r="CV210" t="str">
            <v>--</v>
          </cell>
          <cell r="CW210" t="str">
            <v>--</v>
          </cell>
          <cell r="CX210" t="str">
            <v>--</v>
          </cell>
          <cell r="CY210" t="str">
            <v>--</v>
          </cell>
          <cell r="CZ210" t="str">
            <v>--</v>
          </cell>
          <cell r="DA210" t="str">
            <v>--</v>
          </cell>
          <cell r="DB210" t="str">
            <v>--</v>
          </cell>
          <cell r="DC210" t="str">
            <v>--</v>
          </cell>
          <cell r="DD210" t="str">
            <v>--</v>
          </cell>
          <cell r="DE210" t="str">
            <v>--</v>
          </cell>
          <cell r="DF210" t="str">
            <v>--</v>
          </cell>
          <cell r="DG210" t="str">
            <v>--</v>
          </cell>
          <cell r="DH210" t="str">
            <v>--</v>
          </cell>
          <cell r="DI210" t="str">
            <v>--</v>
          </cell>
          <cell r="DJ210" t="str">
            <v>--</v>
          </cell>
          <cell r="DK210" t="str">
            <v>--</v>
          </cell>
          <cell r="DL210" t="str">
            <v>--</v>
          </cell>
          <cell r="DM210" t="str">
            <v>--</v>
          </cell>
          <cell r="DN210" t="str">
            <v>--</v>
          </cell>
          <cell r="DO210" t="str">
            <v>--</v>
          </cell>
          <cell r="DP210" t="str">
            <v>--</v>
          </cell>
          <cell r="DQ210" t="str">
            <v>--</v>
          </cell>
          <cell r="DR210" t="str">
            <v>--</v>
          </cell>
          <cell r="DS210" t="str">
            <v>--</v>
          </cell>
          <cell r="DT210" t="str">
            <v>--</v>
          </cell>
          <cell r="DU210" t="str">
            <v>--</v>
          </cell>
          <cell r="DV210" t="str">
            <v>--</v>
          </cell>
          <cell r="DW210" t="str">
            <v>--</v>
          </cell>
          <cell r="DX210" t="str">
            <v>--</v>
          </cell>
          <cell r="DY210" t="str">
            <v>--</v>
          </cell>
          <cell r="DZ210" t="str">
            <v>--</v>
          </cell>
          <cell r="EA210" t="str">
            <v>--</v>
          </cell>
          <cell r="EB210" t="str">
            <v>--</v>
          </cell>
          <cell r="EC210" t="str">
            <v>--</v>
          </cell>
          <cell r="ED210" t="str">
            <v>--</v>
          </cell>
          <cell r="EE210" t="str">
            <v>--</v>
          </cell>
          <cell r="EF210" t="str">
            <v>--</v>
          </cell>
          <cell r="EG210" t="str">
            <v>--</v>
          </cell>
        </row>
        <row r="211">
          <cell r="A211" t="str">
            <v>01490534Low income</v>
          </cell>
          <cell r="B211" t="str">
            <v>01490534F</v>
          </cell>
          <cell r="C211" t="str">
            <v>0149</v>
          </cell>
          <cell r="D211" t="str">
            <v>01490534</v>
          </cell>
          <cell r="E211" t="str">
            <v>Lawrence</v>
          </cell>
          <cell r="F211" t="str">
            <v>International High School</v>
          </cell>
          <cell r="G211" t="str">
            <v>HS</v>
          </cell>
          <cell r="H211" t="str">
            <v>Lawrence - International High School (01490534)</v>
          </cell>
          <cell r="I211" t="str">
            <v>Low income</v>
          </cell>
          <cell r="J211" t="str">
            <v>01490534Low income</v>
          </cell>
          <cell r="K211" t="str">
            <v>--</v>
          </cell>
          <cell r="L211">
            <v>59.4</v>
          </cell>
          <cell r="M211">
            <v>62.8</v>
          </cell>
          <cell r="N211">
            <v>50.1</v>
          </cell>
          <cell r="O211">
            <v>66.2</v>
          </cell>
          <cell r="P211">
            <v>45.1</v>
          </cell>
          <cell r="Q211">
            <v>69.599999999999994</v>
          </cell>
          <cell r="R211">
            <v>72.900000000000006</v>
          </cell>
          <cell r="S211">
            <v>76.3</v>
          </cell>
          <cell r="T211">
            <v>79.7</v>
          </cell>
          <cell r="U211">
            <v>41.5</v>
          </cell>
          <cell r="V211">
            <v>46.4</v>
          </cell>
          <cell r="W211">
            <v>35.4</v>
          </cell>
          <cell r="X211">
            <v>51.3</v>
          </cell>
          <cell r="Y211">
            <v>45.8</v>
          </cell>
          <cell r="Z211">
            <v>56.1</v>
          </cell>
          <cell r="AA211">
            <v>61</v>
          </cell>
          <cell r="AB211">
            <v>65.900000000000006</v>
          </cell>
          <cell r="AC211">
            <v>70.8</v>
          </cell>
          <cell r="AD211">
            <v>42.5</v>
          </cell>
          <cell r="AE211">
            <v>47.3</v>
          </cell>
          <cell r="AF211">
            <v>46.3</v>
          </cell>
          <cell r="AG211">
            <v>52.1</v>
          </cell>
          <cell r="AH211">
            <v>36.799999999999997</v>
          </cell>
          <cell r="AI211">
            <v>56.9</v>
          </cell>
          <cell r="AJ211">
            <v>61.7</v>
          </cell>
          <cell r="AK211">
            <v>66.5</v>
          </cell>
          <cell r="AL211">
            <v>71.3</v>
          </cell>
          <cell r="AM211">
            <v>63.9</v>
          </cell>
          <cell r="AN211">
            <v>66.400000000000006</v>
          </cell>
          <cell r="AO211">
            <v>53.4</v>
          </cell>
          <cell r="AP211">
            <v>55.9</v>
          </cell>
          <cell r="AQ211">
            <v>62.6</v>
          </cell>
          <cell r="AR211">
            <v>65.099999999999994</v>
          </cell>
          <cell r="AS211">
            <v>67.599999999999994</v>
          </cell>
          <cell r="AT211">
            <v>70.099999999999994</v>
          </cell>
          <cell r="AU211">
            <v>72.599999999999994</v>
          </cell>
          <cell r="AV211">
            <v>60.5</v>
          </cell>
          <cell r="AW211">
            <v>63</v>
          </cell>
          <cell r="AX211">
            <v>67.3</v>
          </cell>
          <cell r="AY211">
            <v>69.8</v>
          </cell>
          <cell r="AZ211">
            <v>56.4</v>
          </cell>
          <cell r="BA211">
            <v>58.9</v>
          </cell>
          <cell r="BB211">
            <v>61.4</v>
          </cell>
          <cell r="BC211">
            <v>63.9</v>
          </cell>
          <cell r="BD211">
            <v>66.400000000000006</v>
          </cell>
          <cell r="BE211">
            <v>6.7</v>
          </cell>
          <cell r="BF211">
            <v>6.1</v>
          </cell>
          <cell r="BG211">
            <v>6.2</v>
          </cell>
          <cell r="BH211">
            <v>5.6</v>
          </cell>
          <cell r="BI211">
            <v>5.6</v>
          </cell>
          <cell r="BJ211">
            <v>5</v>
          </cell>
          <cell r="BK211">
            <v>4.5</v>
          </cell>
          <cell r="BL211">
            <v>3.9</v>
          </cell>
          <cell r="BM211">
            <v>3.4</v>
          </cell>
          <cell r="BN211">
            <v>35</v>
          </cell>
          <cell r="BO211">
            <v>45</v>
          </cell>
          <cell r="BP211">
            <v>51</v>
          </cell>
          <cell r="BQ211">
            <v>51</v>
          </cell>
          <cell r="BR211" t="str">
            <v>--</v>
          </cell>
          <cell r="BS211">
            <v>51</v>
          </cell>
          <cell r="BT211">
            <v>51</v>
          </cell>
          <cell r="BU211">
            <v>51</v>
          </cell>
          <cell r="BV211">
            <v>51</v>
          </cell>
          <cell r="BW211">
            <v>21.5</v>
          </cell>
          <cell r="BX211">
            <v>31.5</v>
          </cell>
          <cell r="BY211">
            <v>25</v>
          </cell>
          <cell r="BZ211">
            <v>41.5</v>
          </cell>
          <cell r="CA211" t="str">
            <v>--</v>
          </cell>
          <cell r="CB211">
            <v>51</v>
          </cell>
          <cell r="CC211">
            <v>51</v>
          </cell>
          <cell r="CD211">
            <v>51</v>
          </cell>
          <cell r="CE211">
            <v>51</v>
          </cell>
          <cell r="CF211">
            <v>33.299999999999997</v>
          </cell>
          <cell r="CG211">
            <v>30</v>
          </cell>
          <cell r="CH211">
            <v>36.4</v>
          </cell>
          <cell r="CI211">
            <v>32.799999999999997</v>
          </cell>
          <cell r="CJ211">
            <v>44.2</v>
          </cell>
          <cell r="CK211">
            <v>39.799999999999997</v>
          </cell>
          <cell r="CL211">
            <v>35.799999999999997</v>
          </cell>
          <cell r="CM211">
            <v>32.200000000000003</v>
          </cell>
          <cell r="CN211">
            <v>29</v>
          </cell>
          <cell r="CO211">
            <v>54.9</v>
          </cell>
          <cell r="CP211">
            <v>49.4</v>
          </cell>
          <cell r="CQ211">
            <v>64.599999999999994</v>
          </cell>
          <cell r="CR211">
            <v>58.1</v>
          </cell>
          <cell r="CS211">
            <v>46.8</v>
          </cell>
          <cell r="CT211">
            <v>42.1</v>
          </cell>
          <cell r="CU211">
            <v>37.9</v>
          </cell>
          <cell r="CV211">
            <v>34.1</v>
          </cell>
          <cell r="CW211">
            <v>30.7</v>
          </cell>
          <cell r="CX211">
            <v>52</v>
          </cell>
          <cell r="CY211">
            <v>46.8</v>
          </cell>
          <cell r="CZ211">
            <v>38.299999999999997</v>
          </cell>
          <cell r="DA211">
            <v>34.5</v>
          </cell>
          <cell r="DB211">
            <v>72.2</v>
          </cell>
          <cell r="DC211">
            <v>65</v>
          </cell>
          <cell r="DD211">
            <v>58.5</v>
          </cell>
          <cell r="DE211">
            <v>52.6</v>
          </cell>
          <cell r="DF211">
            <v>47.4</v>
          </cell>
          <cell r="DG211">
            <v>0</v>
          </cell>
          <cell r="DH211">
            <v>1</v>
          </cell>
          <cell r="DI211">
            <v>0</v>
          </cell>
          <cell r="DJ211">
            <v>1</v>
          </cell>
          <cell r="DK211">
            <v>0</v>
          </cell>
          <cell r="DL211">
            <v>1</v>
          </cell>
          <cell r="DM211">
            <v>1.1000000000000001</v>
          </cell>
          <cell r="DN211">
            <v>1.2</v>
          </cell>
          <cell r="DO211">
            <v>1.3</v>
          </cell>
          <cell r="DP211">
            <v>4.2</v>
          </cell>
          <cell r="DQ211">
            <v>4.5999999999999996</v>
          </cell>
          <cell r="DR211">
            <v>0.5</v>
          </cell>
          <cell r="DS211">
            <v>0.6</v>
          </cell>
          <cell r="DT211">
            <v>5.2</v>
          </cell>
          <cell r="DU211">
            <v>5.7</v>
          </cell>
          <cell r="DV211">
            <v>6.3</v>
          </cell>
          <cell r="DW211">
            <v>6.9</v>
          </cell>
          <cell r="DX211">
            <v>7.6</v>
          </cell>
          <cell r="DY211">
            <v>0</v>
          </cell>
          <cell r="DZ211">
            <v>1</v>
          </cell>
          <cell r="EA211">
            <v>0</v>
          </cell>
          <cell r="EB211">
            <v>1</v>
          </cell>
          <cell r="EC211">
            <v>0</v>
          </cell>
          <cell r="ED211">
            <v>1</v>
          </cell>
          <cell r="EE211">
            <v>1.1000000000000001</v>
          </cell>
          <cell r="EF211">
            <v>1.2</v>
          </cell>
          <cell r="EG211">
            <v>1.3</v>
          </cell>
        </row>
        <row r="212">
          <cell r="A212" t="str">
            <v>01490534Hispanic/Latino</v>
          </cell>
          <cell r="B212" t="str">
            <v>01490534H</v>
          </cell>
          <cell r="C212" t="str">
            <v>0149</v>
          </cell>
          <cell r="D212" t="str">
            <v>01490534</v>
          </cell>
          <cell r="E212" t="str">
            <v>Lawrence</v>
          </cell>
          <cell r="F212" t="str">
            <v>International High School</v>
          </cell>
          <cell r="G212" t="str">
            <v>HS</v>
          </cell>
          <cell r="H212" t="str">
            <v>Lawrence - International High School (01490534)</v>
          </cell>
          <cell r="I212" t="str">
            <v>Hispanic/Latino</v>
          </cell>
          <cell r="J212" t="str">
            <v>01490534Hispanic/Latino</v>
          </cell>
          <cell r="K212" t="str">
            <v>--</v>
          </cell>
          <cell r="L212">
            <v>59.2</v>
          </cell>
          <cell r="M212">
            <v>62.6</v>
          </cell>
          <cell r="N212">
            <v>50.4</v>
          </cell>
          <cell r="O212">
            <v>66</v>
          </cell>
          <cell r="P212">
            <v>44.8</v>
          </cell>
          <cell r="Q212">
            <v>69.400000000000006</v>
          </cell>
          <cell r="R212">
            <v>72.8</v>
          </cell>
          <cell r="S212">
            <v>76.2</v>
          </cell>
          <cell r="T212">
            <v>79.599999999999994</v>
          </cell>
          <cell r="U212">
            <v>40.4</v>
          </cell>
          <cell r="V212">
            <v>45.4</v>
          </cell>
          <cell r="W212">
            <v>35.6</v>
          </cell>
          <cell r="X212">
            <v>50.3</v>
          </cell>
          <cell r="Y212">
            <v>43.2</v>
          </cell>
          <cell r="Z212">
            <v>55.3</v>
          </cell>
          <cell r="AA212">
            <v>60.3</v>
          </cell>
          <cell r="AB212">
            <v>65.2</v>
          </cell>
          <cell r="AC212">
            <v>70.2</v>
          </cell>
          <cell r="AD212">
            <v>42.8</v>
          </cell>
          <cell r="AE212">
            <v>47.6</v>
          </cell>
          <cell r="AF212">
            <v>46.8</v>
          </cell>
          <cell r="AG212">
            <v>52.3</v>
          </cell>
          <cell r="AH212">
            <v>38.5</v>
          </cell>
          <cell r="AI212">
            <v>57.1</v>
          </cell>
          <cell r="AJ212">
            <v>61.9</v>
          </cell>
          <cell r="AK212">
            <v>66.599999999999994</v>
          </cell>
          <cell r="AL212">
            <v>71.400000000000006</v>
          </cell>
          <cell r="AM212">
            <v>58.4</v>
          </cell>
          <cell r="AN212">
            <v>60.9</v>
          </cell>
          <cell r="AO212">
            <v>52.9</v>
          </cell>
          <cell r="AP212">
            <v>55.4</v>
          </cell>
          <cell r="AQ212">
            <v>60.2</v>
          </cell>
          <cell r="AR212">
            <v>62.7</v>
          </cell>
          <cell r="AS212">
            <v>65.2</v>
          </cell>
          <cell r="AT212">
            <v>67.7</v>
          </cell>
          <cell r="AU212">
            <v>70.2</v>
          </cell>
          <cell r="AV212">
            <v>53.9</v>
          </cell>
          <cell r="AW212">
            <v>56.4</v>
          </cell>
          <cell r="AX212">
            <v>61.7</v>
          </cell>
          <cell r="AY212">
            <v>64.2</v>
          </cell>
          <cell r="AZ212">
            <v>55.8</v>
          </cell>
          <cell r="BA212">
            <v>58.3</v>
          </cell>
          <cell r="BB212">
            <v>60.8</v>
          </cell>
          <cell r="BC212">
            <v>63.3</v>
          </cell>
          <cell r="BD212">
            <v>65.8</v>
          </cell>
          <cell r="BE212">
            <v>8</v>
          </cell>
          <cell r="BF212">
            <v>7.3</v>
          </cell>
          <cell r="BG212">
            <v>7.8</v>
          </cell>
          <cell r="BH212">
            <v>6.7</v>
          </cell>
          <cell r="BI212">
            <v>7.7</v>
          </cell>
          <cell r="BJ212">
            <v>6</v>
          </cell>
          <cell r="BK212">
            <v>5.3</v>
          </cell>
          <cell r="BL212">
            <v>4.7</v>
          </cell>
          <cell r="BM212">
            <v>4</v>
          </cell>
          <cell r="BN212">
            <v>41</v>
          </cell>
          <cell r="BO212">
            <v>51</v>
          </cell>
          <cell r="BP212">
            <v>45</v>
          </cell>
          <cell r="BQ212">
            <v>51</v>
          </cell>
          <cell r="BR212" t="str">
            <v>--</v>
          </cell>
          <cell r="BS212">
            <v>51</v>
          </cell>
          <cell r="BT212">
            <v>51</v>
          </cell>
          <cell r="BU212">
            <v>51</v>
          </cell>
          <cell r="BV212">
            <v>51</v>
          </cell>
          <cell r="BW212">
            <v>21</v>
          </cell>
          <cell r="BX212">
            <v>31</v>
          </cell>
          <cell r="BY212">
            <v>26</v>
          </cell>
          <cell r="BZ212">
            <v>36</v>
          </cell>
          <cell r="CA212" t="str">
            <v>--</v>
          </cell>
          <cell r="CB212">
            <v>36</v>
          </cell>
          <cell r="CC212">
            <v>46</v>
          </cell>
          <cell r="CD212">
            <v>51</v>
          </cell>
          <cell r="CE212">
            <v>51</v>
          </cell>
          <cell r="CF212">
            <v>32.9</v>
          </cell>
          <cell r="CG212">
            <v>29.6</v>
          </cell>
          <cell r="CH212">
            <v>35.9</v>
          </cell>
          <cell r="CI212">
            <v>32.299999999999997</v>
          </cell>
          <cell r="CJ212">
            <v>45.7</v>
          </cell>
          <cell r="CK212">
            <v>41.1</v>
          </cell>
          <cell r="CL212">
            <v>37</v>
          </cell>
          <cell r="CM212">
            <v>33.299999999999997</v>
          </cell>
          <cell r="CN212">
            <v>30</v>
          </cell>
          <cell r="CO212">
            <v>56.4</v>
          </cell>
          <cell r="CP212">
            <v>50.8</v>
          </cell>
          <cell r="CQ212">
            <v>64.3</v>
          </cell>
          <cell r="CR212">
            <v>57.9</v>
          </cell>
          <cell r="CS212">
            <v>49.4</v>
          </cell>
          <cell r="CT212">
            <v>44.5</v>
          </cell>
          <cell r="CU212">
            <v>40</v>
          </cell>
          <cell r="CV212">
            <v>36</v>
          </cell>
          <cell r="CW212">
            <v>32.4</v>
          </cell>
          <cell r="CX212">
            <v>51.9</v>
          </cell>
          <cell r="CY212">
            <v>46.7</v>
          </cell>
          <cell r="CZ212">
            <v>36.200000000000003</v>
          </cell>
          <cell r="DA212">
            <v>32.6</v>
          </cell>
          <cell r="DB212">
            <v>70.3</v>
          </cell>
          <cell r="DC212">
            <v>63.3</v>
          </cell>
          <cell r="DD212">
            <v>56.9</v>
          </cell>
          <cell r="DE212">
            <v>51.2</v>
          </cell>
          <cell r="DF212">
            <v>46.1</v>
          </cell>
          <cell r="DG212">
            <v>0</v>
          </cell>
          <cell r="DH212">
            <v>1</v>
          </cell>
          <cell r="DI212">
            <v>0</v>
          </cell>
          <cell r="DJ212">
            <v>1</v>
          </cell>
          <cell r="DK212">
            <v>0</v>
          </cell>
          <cell r="DL212">
            <v>1</v>
          </cell>
          <cell r="DM212">
            <v>1.1000000000000001</v>
          </cell>
          <cell r="DN212">
            <v>1.2</v>
          </cell>
          <cell r="DO212">
            <v>1.3</v>
          </cell>
          <cell r="DP212">
            <v>3.8</v>
          </cell>
          <cell r="DQ212">
            <v>4.2</v>
          </cell>
          <cell r="DR212">
            <v>1</v>
          </cell>
          <cell r="DS212">
            <v>1.1000000000000001</v>
          </cell>
          <cell r="DT212">
            <v>2.5</v>
          </cell>
          <cell r="DU212">
            <v>2.8</v>
          </cell>
          <cell r="DV212">
            <v>3</v>
          </cell>
          <cell r="DW212">
            <v>3.3</v>
          </cell>
          <cell r="DX212">
            <v>3.7</v>
          </cell>
          <cell r="DY212">
            <v>0</v>
          </cell>
          <cell r="DZ212">
            <v>1</v>
          </cell>
          <cell r="EA212">
            <v>0</v>
          </cell>
          <cell r="EB212">
            <v>1</v>
          </cell>
          <cell r="EC212">
            <v>0</v>
          </cell>
          <cell r="ED212">
            <v>1</v>
          </cell>
          <cell r="EE212">
            <v>1.1000000000000001</v>
          </cell>
          <cell r="EF212">
            <v>1.2</v>
          </cell>
          <cell r="EG212">
            <v>1.3</v>
          </cell>
        </row>
        <row r="213">
          <cell r="A213" t="str">
            <v>01490534ELL and Former ELL</v>
          </cell>
          <cell r="B213" t="str">
            <v>01490534L</v>
          </cell>
          <cell r="C213" t="str">
            <v>0149</v>
          </cell>
          <cell r="D213" t="str">
            <v>01490534</v>
          </cell>
          <cell r="E213" t="str">
            <v>Lawrence</v>
          </cell>
          <cell r="F213" t="str">
            <v>International High School</v>
          </cell>
          <cell r="G213" t="str">
            <v>HS</v>
          </cell>
          <cell r="H213" t="str">
            <v>Lawrence - International High School (01490534)</v>
          </cell>
          <cell r="I213" t="str">
            <v>ELL and Former ELL</v>
          </cell>
          <cell r="J213" t="str">
            <v>01490534ELL and Former ELL</v>
          </cell>
          <cell r="K213" t="str">
            <v>--</v>
          </cell>
          <cell r="L213">
            <v>44.4</v>
          </cell>
          <cell r="M213">
            <v>49</v>
          </cell>
          <cell r="N213">
            <v>44.6</v>
          </cell>
          <cell r="O213">
            <v>53.7</v>
          </cell>
          <cell r="P213">
            <v>46.2</v>
          </cell>
          <cell r="Q213">
            <v>58.3</v>
          </cell>
          <cell r="R213">
            <v>62.9</v>
          </cell>
          <cell r="S213">
            <v>67.599999999999994</v>
          </cell>
          <cell r="T213">
            <v>72.2</v>
          </cell>
          <cell r="U213">
            <v>32.799999999999997</v>
          </cell>
          <cell r="V213">
            <v>38.4</v>
          </cell>
          <cell r="W213">
            <v>32.1</v>
          </cell>
          <cell r="X213">
            <v>44</v>
          </cell>
          <cell r="Y213">
            <v>44.4</v>
          </cell>
          <cell r="Z213">
            <v>49.6</v>
          </cell>
          <cell r="AA213">
            <v>55.2</v>
          </cell>
          <cell r="AB213">
            <v>60.8</v>
          </cell>
          <cell r="AC213">
            <v>66.400000000000006</v>
          </cell>
          <cell r="AD213">
            <v>38.299999999999997</v>
          </cell>
          <cell r="AE213">
            <v>43.4</v>
          </cell>
          <cell r="AF213">
            <v>40</v>
          </cell>
          <cell r="AG213">
            <v>48.6</v>
          </cell>
          <cell r="AH213">
            <v>38.200000000000003</v>
          </cell>
          <cell r="AI213">
            <v>53.7</v>
          </cell>
          <cell r="AJ213">
            <v>58.9</v>
          </cell>
          <cell r="AK213">
            <v>64</v>
          </cell>
          <cell r="AL213">
            <v>69.2</v>
          </cell>
          <cell r="AM213">
            <v>54.5</v>
          </cell>
          <cell r="AN213">
            <v>57</v>
          </cell>
          <cell r="AO213">
            <v>50</v>
          </cell>
          <cell r="AP213">
            <v>52.5</v>
          </cell>
          <cell r="AQ213">
            <v>54</v>
          </cell>
          <cell r="AR213">
            <v>56.5</v>
          </cell>
          <cell r="AS213">
            <v>59</v>
          </cell>
          <cell r="AT213">
            <v>61.5</v>
          </cell>
          <cell r="AU213">
            <v>64</v>
          </cell>
          <cell r="AV213">
            <v>51.5</v>
          </cell>
          <cell r="AW213">
            <v>54</v>
          </cell>
          <cell r="AX213">
            <v>57.6</v>
          </cell>
          <cell r="AY213">
            <v>60.1</v>
          </cell>
          <cell r="AZ213">
            <v>52.6</v>
          </cell>
          <cell r="BA213">
            <v>55.1</v>
          </cell>
          <cell r="BB213">
            <v>57.6</v>
          </cell>
          <cell r="BC213">
            <v>60.1</v>
          </cell>
          <cell r="BD213">
            <v>62.6</v>
          </cell>
          <cell r="BE213">
            <v>8.1999999999999993</v>
          </cell>
          <cell r="BF213">
            <v>7.5</v>
          </cell>
          <cell r="BG213">
            <v>9.4</v>
          </cell>
          <cell r="BH213">
            <v>6.8</v>
          </cell>
          <cell r="BI213">
            <v>9.9</v>
          </cell>
          <cell r="BJ213">
            <v>6.2</v>
          </cell>
          <cell r="BK213">
            <v>5.5</v>
          </cell>
          <cell r="BL213">
            <v>4.8</v>
          </cell>
          <cell r="BM213">
            <v>4.0999999999999996</v>
          </cell>
          <cell r="BN213" t="str">
            <v>--</v>
          </cell>
          <cell r="BO213" t="str">
            <v>--</v>
          </cell>
          <cell r="BP213" t="str">
            <v>--</v>
          </cell>
          <cell r="BQ213" t="str">
            <v>--</v>
          </cell>
          <cell r="BR213" t="str">
            <v>--</v>
          </cell>
          <cell r="BS213" t="str">
            <v>--</v>
          </cell>
          <cell r="BT213" t="str">
            <v>--</v>
          </cell>
          <cell r="BU213" t="str">
            <v>--</v>
          </cell>
          <cell r="BV213" t="str">
            <v>--</v>
          </cell>
          <cell r="BW213" t="str">
            <v>--</v>
          </cell>
          <cell r="BX213" t="str">
            <v>--</v>
          </cell>
          <cell r="BY213" t="str">
            <v>--</v>
          </cell>
          <cell r="BZ213" t="str">
            <v>--</v>
          </cell>
          <cell r="CA213" t="str">
            <v>--</v>
          </cell>
          <cell r="CB213" t="str">
            <v>--</v>
          </cell>
          <cell r="CC213" t="str">
            <v>--</v>
          </cell>
          <cell r="CD213" t="str">
            <v>--</v>
          </cell>
          <cell r="CE213" t="str">
            <v>--</v>
          </cell>
          <cell r="CF213">
            <v>46.9</v>
          </cell>
          <cell r="CG213">
            <v>42.2</v>
          </cell>
          <cell r="CH213">
            <v>40.700000000000003</v>
          </cell>
          <cell r="CI213">
            <v>36.6</v>
          </cell>
          <cell r="CJ213">
            <v>43.5</v>
          </cell>
          <cell r="CK213">
            <v>39.200000000000003</v>
          </cell>
          <cell r="CL213">
            <v>35.200000000000003</v>
          </cell>
          <cell r="CM213">
            <v>31.7</v>
          </cell>
          <cell r="CN213">
            <v>28.5</v>
          </cell>
          <cell r="CO213">
            <v>68.8</v>
          </cell>
          <cell r="CP213">
            <v>61.9</v>
          </cell>
          <cell r="CQ213">
            <v>68.7</v>
          </cell>
          <cell r="CR213">
            <v>61.8</v>
          </cell>
          <cell r="CS213">
            <v>48.2</v>
          </cell>
          <cell r="CT213">
            <v>43.4</v>
          </cell>
          <cell r="CU213">
            <v>39</v>
          </cell>
          <cell r="CV213">
            <v>35.1</v>
          </cell>
          <cell r="CW213">
            <v>31.6</v>
          </cell>
          <cell r="CX213">
            <v>62.5</v>
          </cell>
          <cell r="CY213">
            <v>56.3</v>
          </cell>
          <cell r="CZ213">
            <v>45</v>
          </cell>
          <cell r="DA213">
            <v>40.5</v>
          </cell>
          <cell r="DB213">
            <v>71.099999999999994</v>
          </cell>
          <cell r="DC213">
            <v>64</v>
          </cell>
          <cell r="DD213">
            <v>57.6</v>
          </cell>
          <cell r="DE213">
            <v>51.8</v>
          </cell>
          <cell r="DF213">
            <v>46.6</v>
          </cell>
          <cell r="DG213">
            <v>0</v>
          </cell>
          <cell r="DH213">
            <v>1</v>
          </cell>
          <cell r="DI213">
            <v>0</v>
          </cell>
          <cell r="DJ213">
            <v>1</v>
          </cell>
          <cell r="DK213">
            <v>0</v>
          </cell>
          <cell r="DL213">
            <v>1</v>
          </cell>
          <cell r="DM213">
            <v>1.1000000000000001</v>
          </cell>
          <cell r="DN213">
            <v>1.2</v>
          </cell>
          <cell r="DO213">
            <v>1.3</v>
          </cell>
          <cell r="DP213">
            <v>4.2</v>
          </cell>
          <cell r="DQ213">
            <v>4.5999999999999996</v>
          </cell>
          <cell r="DR213">
            <v>0.6</v>
          </cell>
          <cell r="DS213">
            <v>0.7</v>
          </cell>
          <cell r="DT213">
            <v>4.7</v>
          </cell>
          <cell r="DU213">
            <v>5.2</v>
          </cell>
          <cell r="DV213">
            <v>5.7</v>
          </cell>
          <cell r="DW213">
            <v>6.3</v>
          </cell>
          <cell r="DX213">
            <v>6.9</v>
          </cell>
          <cell r="DY213">
            <v>0</v>
          </cell>
          <cell r="DZ213">
            <v>1</v>
          </cell>
          <cell r="EA213">
            <v>0</v>
          </cell>
          <cell r="EB213">
            <v>1</v>
          </cell>
          <cell r="EC213">
            <v>0</v>
          </cell>
          <cell r="ED213">
            <v>1</v>
          </cell>
          <cell r="EE213">
            <v>1.1000000000000001</v>
          </cell>
          <cell r="EF213">
            <v>1.2</v>
          </cell>
          <cell r="EG213">
            <v>1.3</v>
          </cell>
        </row>
        <row r="214">
          <cell r="A214" t="str">
            <v>01490534Multi-race, Non-Hisp./Lat.</v>
          </cell>
          <cell r="B214" t="str">
            <v>01490534M</v>
          </cell>
          <cell r="C214" t="str">
            <v>0149</v>
          </cell>
          <cell r="D214" t="str">
            <v>01490534</v>
          </cell>
          <cell r="E214" t="str">
            <v>Lawrence</v>
          </cell>
          <cell r="F214" t="str">
            <v>International High School</v>
          </cell>
          <cell r="G214" t="str">
            <v>HS</v>
          </cell>
          <cell r="H214" t="str">
            <v>Lawrence - International High School (01490534)</v>
          </cell>
          <cell r="I214" t="str">
            <v>Multi-race, Non-Hisp./Lat.</v>
          </cell>
          <cell r="J214" t="str">
            <v>01490534Multi-race, Non-Hisp./Lat.</v>
          </cell>
          <cell r="K214" t="str">
            <v>Level 4</v>
          </cell>
          <cell r="L214" t="str">
            <v>--</v>
          </cell>
          <cell r="M214" t="str">
            <v>--</v>
          </cell>
          <cell r="N214" t="str">
            <v>--</v>
          </cell>
          <cell r="O214" t="str">
            <v>--</v>
          </cell>
          <cell r="P214" t="str">
            <v>--</v>
          </cell>
          <cell r="Q214" t="str">
            <v>--</v>
          </cell>
          <cell r="R214" t="str">
            <v>--</v>
          </cell>
          <cell r="S214" t="str">
            <v>--</v>
          </cell>
          <cell r="T214" t="str">
            <v>--</v>
          </cell>
          <cell r="U214" t="str">
            <v>--</v>
          </cell>
          <cell r="V214" t="str">
            <v>--</v>
          </cell>
          <cell r="W214" t="str">
            <v>--</v>
          </cell>
          <cell r="X214" t="str">
            <v>--</v>
          </cell>
          <cell r="Y214" t="str">
            <v>--</v>
          </cell>
          <cell r="Z214" t="str">
            <v>--</v>
          </cell>
          <cell r="AA214" t="str">
            <v>--</v>
          </cell>
          <cell r="AB214" t="str">
            <v>--</v>
          </cell>
          <cell r="AC214" t="str">
            <v>--</v>
          </cell>
          <cell r="AD214" t="str">
            <v>--</v>
          </cell>
          <cell r="AE214" t="str">
            <v>--</v>
          </cell>
          <cell r="AF214" t="str">
            <v>--</v>
          </cell>
          <cell r="AG214" t="str">
            <v>--</v>
          </cell>
          <cell r="AH214" t="str">
            <v>--</v>
          </cell>
          <cell r="AI214" t="str">
            <v>--</v>
          </cell>
          <cell r="AJ214" t="str">
            <v>--</v>
          </cell>
          <cell r="AK214" t="str">
            <v>--</v>
          </cell>
          <cell r="AL214" t="str">
            <v>--</v>
          </cell>
          <cell r="AM214" t="str">
            <v>--</v>
          </cell>
          <cell r="AN214" t="str">
            <v>--</v>
          </cell>
          <cell r="AO214" t="str">
            <v>--</v>
          </cell>
          <cell r="AP214" t="str">
            <v>--</v>
          </cell>
          <cell r="AQ214" t="str">
            <v>--</v>
          </cell>
          <cell r="AR214" t="str">
            <v>--</v>
          </cell>
          <cell r="AS214" t="str">
            <v>--</v>
          </cell>
          <cell r="AT214" t="str">
            <v>--</v>
          </cell>
          <cell r="AU214" t="str">
            <v>--</v>
          </cell>
          <cell r="AV214" t="str">
            <v>--</v>
          </cell>
          <cell r="AW214" t="str">
            <v>--</v>
          </cell>
          <cell r="AX214" t="str">
            <v>--</v>
          </cell>
          <cell r="AY214" t="str">
            <v>--</v>
          </cell>
          <cell r="AZ214" t="str">
            <v>--</v>
          </cell>
          <cell r="BA214" t="str">
            <v>--</v>
          </cell>
          <cell r="BB214" t="str">
            <v>--</v>
          </cell>
          <cell r="BC214" t="str">
            <v>--</v>
          </cell>
          <cell r="BD214" t="str">
            <v>--</v>
          </cell>
          <cell r="BE214" t="str">
            <v>--</v>
          </cell>
          <cell r="BF214" t="str">
            <v>--</v>
          </cell>
          <cell r="BG214" t="str">
            <v>--</v>
          </cell>
          <cell r="BH214" t="str">
            <v>--</v>
          </cell>
          <cell r="BI214" t="str">
            <v>--</v>
          </cell>
          <cell r="BJ214" t="str">
            <v>--</v>
          </cell>
          <cell r="BK214" t="str">
            <v>--</v>
          </cell>
          <cell r="BL214" t="str">
            <v>--</v>
          </cell>
          <cell r="BM214" t="str">
            <v>--</v>
          </cell>
          <cell r="BN214" t="str">
            <v>--</v>
          </cell>
          <cell r="BO214" t="str">
            <v>--</v>
          </cell>
          <cell r="BP214" t="str">
            <v>--</v>
          </cell>
          <cell r="BQ214" t="str">
            <v>--</v>
          </cell>
          <cell r="BR214" t="str">
            <v>--</v>
          </cell>
          <cell r="BS214" t="str">
            <v>--</v>
          </cell>
          <cell r="BT214" t="str">
            <v>--</v>
          </cell>
          <cell r="BU214" t="str">
            <v>--</v>
          </cell>
          <cell r="BV214" t="str">
            <v>--</v>
          </cell>
          <cell r="BW214" t="str">
            <v>--</v>
          </cell>
          <cell r="BX214" t="str">
            <v>--</v>
          </cell>
          <cell r="BY214" t="str">
            <v>--</v>
          </cell>
          <cell r="BZ214" t="str">
            <v>--</v>
          </cell>
          <cell r="CA214" t="str">
            <v>--</v>
          </cell>
          <cell r="CB214" t="str">
            <v>--</v>
          </cell>
          <cell r="CC214" t="str">
            <v>--</v>
          </cell>
          <cell r="CD214" t="str">
            <v>--</v>
          </cell>
          <cell r="CE214" t="str">
            <v>--</v>
          </cell>
          <cell r="CF214" t="str">
            <v>--</v>
          </cell>
          <cell r="CG214" t="str">
            <v>--</v>
          </cell>
          <cell r="CH214" t="str">
            <v>--</v>
          </cell>
          <cell r="CI214" t="str">
            <v>--</v>
          </cell>
          <cell r="CJ214" t="str">
            <v>--</v>
          </cell>
          <cell r="CK214" t="str">
            <v>--</v>
          </cell>
          <cell r="CL214" t="str">
            <v>--</v>
          </cell>
          <cell r="CM214" t="str">
            <v>--</v>
          </cell>
          <cell r="CN214" t="str">
            <v>--</v>
          </cell>
          <cell r="CO214" t="str">
            <v>--</v>
          </cell>
          <cell r="CP214" t="str">
            <v>--</v>
          </cell>
          <cell r="CQ214" t="str">
            <v>--</v>
          </cell>
          <cell r="CR214" t="str">
            <v>--</v>
          </cell>
          <cell r="CS214" t="str">
            <v>--</v>
          </cell>
          <cell r="CT214" t="str">
            <v>--</v>
          </cell>
          <cell r="CU214" t="str">
            <v>--</v>
          </cell>
          <cell r="CV214" t="str">
            <v>--</v>
          </cell>
          <cell r="CW214" t="str">
            <v>--</v>
          </cell>
          <cell r="CX214" t="str">
            <v>--</v>
          </cell>
          <cell r="CY214" t="str">
            <v>--</v>
          </cell>
          <cell r="CZ214" t="str">
            <v>--</v>
          </cell>
          <cell r="DA214" t="str">
            <v>--</v>
          </cell>
          <cell r="DB214" t="str">
            <v>--</v>
          </cell>
          <cell r="DC214" t="str">
            <v>--</v>
          </cell>
          <cell r="DD214" t="str">
            <v>--</v>
          </cell>
          <cell r="DE214" t="str">
            <v>--</v>
          </cell>
          <cell r="DF214" t="str">
            <v>--</v>
          </cell>
          <cell r="DG214" t="str">
            <v>--</v>
          </cell>
          <cell r="DH214" t="str">
            <v>--</v>
          </cell>
          <cell r="DI214" t="str">
            <v>--</v>
          </cell>
          <cell r="DJ214" t="str">
            <v>--</v>
          </cell>
          <cell r="DK214" t="str">
            <v>--</v>
          </cell>
          <cell r="DL214" t="str">
            <v>--</v>
          </cell>
          <cell r="DM214" t="str">
            <v>--</v>
          </cell>
          <cell r="DN214" t="str">
            <v>--</v>
          </cell>
          <cell r="DO214" t="str">
            <v>--</v>
          </cell>
          <cell r="DP214" t="str">
            <v>--</v>
          </cell>
          <cell r="DQ214" t="str">
            <v>--</v>
          </cell>
          <cell r="DR214" t="str">
            <v>--</v>
          </cell>
          <cell r="DS214" t="str">
            <v>--</v>
          </cell>
          <cell r="DT214" t="str">
            <v>--</v>
          </cell>
          <cell r="DU214" t="str">
            <v>--</v>
          </cell>
          <cell r="DV214" t="str">
            <v>--</v>
          </cell>
          <cell r="DW214" t="str">
            <v>--</v>
          </cell>
          <cell r="DX214" t="str">
            <v>--</v>
          </cell>
          <cell r="DY214" t="str">
            <v>--</v>
          </cell>
          <cell r="DZ214" t="str">
            <v>--</v>
          </cell>
          <cell r="EA214" t="str">
            <v>--</v>
          </cell>
          <cell r="EB214" t="str">
            <v>--</v>
          </cell>
          <cell r="EC214" t="str">
            <v>--</v>
          </cell>
          <cell r="ED214" t="str">
            <v>--</v>
          </cell>
          <cell r="EE214" t="str">
            <v>--</v>
          </cell>
          <cell r="EF214" t="str">
            <v>--</v>
          </cell>
          <cell r="EG214" t="str">
            <v>--</v>
          </cell>
        </row>
        <row r="215">
          <cell r="A215" t="str">
            <v>01490534Amer. Ind. or Alaska Nat.</v>
          </cell>
          <cell r="B215" t="str">
            <v>01490534N</v>
          </cell>
          <cell r="C215" t="str">
            <v>0149</v>
          </cell>
          <cell r="D215" t="str">
            <v>01490534</v>
          </cell>
          <cell r="E215" t="str">
            <v>Lawrence</v>
          </cell>
          <cell r="F215" t="str">
            <v>International High School</v>
          </cell>
          <cell r="G215" t="str">
            <v>HS</v>
          </cell>
          <cell r="H215" t="str">
            <v>Lawrence - International High School (01490534)</v>
          </cell>
          <cell r="I215" t="str">
            <v>Amer. Ind. or Alaska Nat.</v>
          </cell>
          <cell r="J215" t="str">
            <v>01490534Amer. Ind. or Alaska Nat.</v>
          </cell>
          <cell r="K215" t="str">
            <v>--</v>
          </cell>
          <cell r="L215" t="str">
            <v>--</v>
          </cell>
          <cell r="M215" t="str">
            <v>--</v>
          </cell>
          <cell r="N215" t="str">
            <v>--</v>
          </cell>
          <cell r="O215" t="str">
            <v>--</v>
          </cell>
          <cell r="P215" t="str">
            <v>--</v>
          </cell>
          <cell r="Q215" t="str">
            <v>--</v>
          </cell>
          <cell r="R215" t="str">
            <v>--</v>
          </cell>
          <cell r="S215" t="str">
            <v>--</v>
          </cell>
          <cell r="T215" t="str">
            <v>--</v>
          </cell>
          <cell r="U215" t="str">
            <v>--</v>
          </cell>
          <cell r="V215" t="str">
            <v>--</v>
          </cell>
          <cell r="W215" t="str">
            <v>--</v>
          </cell>
          <cell r="X215" t="str">
            <v>--</v>
          </cell>
          <cell r="Y215" t="str">
            <v>--</v>
          </cell>
          <cell r="Z215" t="str">
            <v>--</v>
          </cell>
          <cell r="AA215" t="str">
            <v>--</v>
          </cell>
          <cell r="AB215" t="str">
            <v>--</v>
          </cell>
          <cell r="AC215" t="str">
            <v>--</v>
          </cell>
          <cell r="AD215" t="str">
            <v>--</v>
          </cell>
          <cell r="AE215" t="str">
            <v>--</v>
          </cell>
          <cell r="AF215" t="str">
            <v>--</v>
          </cell>
          <cell r="AG215" t="str">
            <v>--</v>
          </cell>
          <cell r="AH215" t="str">
            <v>--</v>
          </cell>
          <cell r="AI215" t="str">
            <v>--</v>
          </cell>
          <cell r="AJ215" t="str">
            <v>--</v>
          </cell>
          <cell r="AK215" t="str">
            <v>--</v>
          </cell>
          <cell r="AL215" t="str">
            <v>--</v>
          </cell>
          <cell r="AM215" t="str">
            <v>--</v>
          </cell>
          <cell r="AN215" t="str">
            <v>--</v>
          </cell>
          <cell r="AO215" t="str">
            <v>--</v>
          </cell>
          <cell r="AP215" t="str">
            <v>--</v>
          </cell>
          <cell r="AQ215" t="str">
            <v>--</v>
          </cell>
          <cell r="AR215" t="str">
            <v>--</v>
          </cell>
          <cell r="AS215" t="str">
            <v>--</v>
          </cell>
          <cell r="AT215" t="str">
            <v>--</v>
          </cell>
          <cell r="AU215" t="str">
            <v>--</v>
          </cell>
          <cell r="AV215" t="str">
            <v>--</v>
          </cell>
          <cell r="AW215" t="str">
            <v>--</v>
          </cell>
          <cell r="AX215" t="str">
            <v>--</v>
          </cell>
          <cell r="AY215" t="str">
            <v>--</v>
          </cell>
          <cell r="AZ215" t="str">
            <v>--</v>
          </cell>
          <cell r="BA215" t="str">
            <v>--</v>
          </cell>
          <cell r="BB215" t="str">
            <v>--</v>
          </cell>
          <cell r="BC215" t="str">
            <v>--</v>
          </cell>
          <cell r="BD215" t="str">
            <v>--</v>
          </cell>
          <cell r="BE215" t="str">
            <v>--</v>
          </cell>
          <cell r="BF215" t="str">
            <v>--</v>
          </cell>
          <cell r="BG215" t="str">
            <v>--</v>
          </cell>
          <cell r="BH215" t="str">
            <v>--</v>
          </cell>
          <cell r="BI215" t="str">
            <v>--</v>
          </cell>
          <cell r="BJ215" t="str">
            <v>--</v>
          </cell>
          <cell r="BK215" t="str">
            <v>--</v>
          </cell>
          <cell r="BL215" t="str">
            <v>--</v>
          </cell>
          <cell r="BM215" t="str">
            <v>--</v>
          </cell>
          <cell r="BN215" t="str">
            <v>--</v>
          </cell>
          <cell r="BO215" t="str">
            <v>--</v>
          </cell>
          <cell r="BP215" t="str">
            <v>--</v>
          </cell>
          <cell r="BQ215" t="str">
            <v>--</v>
          </cell>
          <cell r="BR215" t="str">
            <v>--</v>
          </cell>
          <cell r="BS215" t="str">
            <v>--</v>
          </cell>
          <cell r="BT215" t="str">
            <v>--</v>
          </cell>
          <cell r="BU215" t="str">
            <v>--</v>
          </cell>
          <cell r="BV215" t="str">
            <v>--</v>
          </cell>
          <cell r="BW215" t="str">
            <v>--</v>
          </cell>
          <cell r="BX215" t="str">
            <v>--</v>
          </cell>
          <cell r="BY215" t="str">
            <v>--</v>
          </cell>
          <cell r="BZ215" t="str">
            <v>--</v>
          </cell>
          <cell r="CA215" t="str">
            <v>--</v>
          </cell>
          <cell r="CB215" t="str">
            <v>--</v>
          </cell>
          <cell r="CC215" t="str">
            <v>--</v>
          </cell>
          <cell r="CD215" t="str">
            <v>--</v>
          </cell>
          <cell r="CE215" t="str">
            <v>--</v>
          </cell>
          <cell r="CF215" t="str">
            <v>--</v>
          </cell>
          <cell r="CG215" t="str">
            <v>--</v>
          </cell>
          <cell r="CH215" t="str">
            <v>--</v>
          </cell>
          <cell r="CI215" t="str">
            <v>--</v>
          </cell>
          <cell r="CJ215" t="str">
            <v>--</v>
          </cell>
          <cell r="CK215" t="str">
            <v>--</v>
          </cell>
          <cell r="CL215" t="str">
            <v>--</v>
          </cell>
          <cell r="CM215" t="str">
            <v>--</v>
          </cell>
          <cell r="CN215" t="str">
            <v>--</v>
          </cell>
          <cell r="CO215" t="str">
            <v>--</v>
          </cell>
          <cell r="CP215" t="str">
            <v>--</v>
          </cell>
          <cell r="CQ215" t="str">
            <v>--</v>
          </cell>
          <cell r="CR215" t="str">
            <v>--</v>
          </cell>
          <cell r="CS215" t="str">
            <v>--</v>
          </cell>
          <cell r="CT215" t="str">
            <v>--</v>
          </cell>
          <cell r="CU215" t="str">
            <v>--</v>
          </cell>
          <cell r="CV215" t="str">
            <v>--</v>
          </cell>
          <cell r="CW215" t="str">
            <v>--</v>
          </cell>
          <cell r="CX215" t="str">
            <v>--</v>
          </cell>
          <cell r="CY215" t="str">
            <v>--</v>
          </cell>
          <cell r="CZ215" t="str">
            <v>--</v>
          </cell>
          <cell r="DA215" t="str">
            <v>--</v>
          </cell>
          <cell r="DB215" t="str">
            <v>--</v>
          </cell>
          <cell r="DC215" t="str">
            <v>--</v>
          </cell>
          <cell r="DD215" t="str">
            <v>--</v>
          </cell>
          <cell r="DE215" t="str">
            <v>--</v>
          </cell>
          <cell r="DF215" t="str">
            <v>--</v>
          </cell>
          <cell r="DG215" t="str">
            <v>--</v>
          </cell>
          <cell r="DH215" t="str">
            <v>--</v>
          </cell>
          <cell r="DI215" t="str">
            <v>--</v>
          </cell>
          <cell r="DJ215" t="str">
            <v>--</v>
          </cell>
          <cell r="DK215" t="str">
            <v>--</v>
          </cell>
          <cell r="DL215" t="str">
            <v>--</v>
          </cell>
          <cell r="DM215" t="str">
            <v>--</v>
          </cell>
          <cell r="DN215" t="str">
            <v>--</v>
          </cell>
          <cell r="DO215" t="str">
            <v>--</v>
          </cell>
          <cell r="DP215" t="str">
            <v>--</v>
          </cell>
          <cell r="DQ215" t="str">
            <v>--</v>
          </cell>
          <cell r="DR215" t="str">
            <v>--</v>
          </cell>
          <cell r="DS215" t="str">
            <v>--</v>
          </cell>
          <cell r="DT215" t="str">
            <v>--</v>
          </cell>
          <cell r="DU215" t="str">
            <v>--</v>
          </cell>
          <cell r="DV215" t="str">
            <v>--</v>
          </cell>
          <cell r="DW215" t="str">
            <v>--</v>
          </cell>
          <cell r="DX215" t="str">
            <v>--</v>
          </cell>
          <cell r="DY215" t="str">
            <v>--</v>
          </cell>
          <cell r="DZ215" t="str">
            <v>--</v>
          </cell>
          <cell r="EA215" t="str">
            <v>--</v>
          </cell>
          <cell r="EB215" t="str">
            <v>--</v>
          </cell>
          <cell r="EC215" t="str">
            <v>--</v>
          </cell>
          <cell r="ED215" t="str">
            <v>--</v>
          </cell>
          <cell r="EE215" t="str">
            <v>--</v>
          </cell>
          <cell r="EF215" t="str">
            <v>--</v>
          </cell>
          <cell r="EG215" t="str">
            <v>--</v>
          </cell>
        </row>
        <row r="216">
          <cell r="A216" t="str">
            <v>01490534Nat. Haw. or Pacif. Isl.</v>
          </cell>
          <cell r="B216" t="str">
            <v>01490534P</v>
          </cell>
          <cell r="C216" t="str">
            <v>0149</v>
          </cell>
          <cell r="D216" t="str">
            <v>01490534</v>
          </cell>
          <cell r="E216" t="str">
            <v>Lawrence</v>
          </cell>
          <cell r="F216" t="str">
            <v>International High School</v>
          </cell>
          <cell r="G216" t="str">
            <v>HS</v>
          </cell>
          <cell r="H216" t="str">
            <v>Lawrence - International High School (01490534)</v>
          </cell>
          <cell r="I216" t="str">
            <v>Nat. Haw. or Pacif. Isl.</v>
          </cell>
          <cell r="J216" t="str">
            <v>01490534Nat. Haw. or Pacif. Isl.</v>
          </cell>
          <cell r="K216" t="str">
            <v>Level 4</v>
          </cell>
          <cell r="L216" t="str">
            <v>--</v>
          </cell>
          <cell r="M216" t="str">
            <v>--</v>
          </cell>
          <cell r="N216" t="str">
            <v>--</v>
          </cell>
          <cell r="O216" t="str">
            <v>--</v>
          </cell>
          <cell r="P216" t="str">
            <v>--</v>
          </cell>
          <cell r="Q216" t="str">
            <v>--</v>
          </cell>
          <cell r="R216" t="str">
            <v>--</v>
          </cell>
          <cell r="S216" t="str">
            <v>--</v>
          </cell>
          <cell r="T216" t="str">
            <v>--</v>
          </cell>
          <cell r="U216" t="str">
            <v>--</v>
          </cell>
          <cell r="V216" t="str">
            <v>--</v>
          </cell>
          <cell r="W216" t="str">
            <v>--</v>
          </cell>
          <cell r="X216" t="str">
            <v>--</v>
          </cell>
          <cell r="Y216" t="str">
            <v>--</v>
          </cell>
          <cell r="Z216" t="str">
            <v>--</v>
          </cell>
          <cell r="AA216" t="str">
            <v>--</v>
          </cell>
          <cell r="AB216" t="str">
            <v>--</v>
          </cell>
          <cell r="AC216" t="str">
            <v>--</v>
          </cell>
          <cell r="AD216" t="str">
            <v>--</v>
          </cell>
          <cell r="AE216" t="str">
            <v>--</v>
          </cell>
          <cell r="AF216" t="str">
            <v>--</v>
          </cell>
          <cell r="AG216" t="str">
            <v>--</v>
          </cell>
          <cell r="AH216" t="str">
            <v>--</v>
          </cell>
          <cell r="AI216" t="str">
            <v>--</v>
          </cell>
          <cell r="AJ216" t="str">
            <v>--</v>
          </cell>
          <cell r="AK216" t="str">
            <v>--</v>
          </cell>
          <cell r="AL216" t="str">
            <v>--</v>
          </cell>
          <cell r="AM216" t="str">
            <v>--</v>
          </cell>
          <cell r="AN216" t="str">
            <v>--</v>
          </cell>
          <cell r="AO216" t="str">
            <v>--</v>
          </cell>
          <cell r="AP216" t="str">
            <v>--</v>
          </cell>
          <cell r="AQ216" t="str">
            <v>--</v>
          </cell>
          <cell r="AR216" t="str">
            <v>--</v>
          </cell>
          <cell r="AS216" t="str">
            <v>--</v>
          </cell>
          <cell r="AT216" t="str">
            <v>--</v>
          </cell>
          <cell r="AU216" t="str">
            <v>--</v>
          </cell>
          <cell r="AV216" t="str">
            <v>--</v>
          </cell>
          <cell r="AW216" t="str">
            <v>--</v>
          </cell>
          <cell r="AX216" t="str">
            <v>--</v>
          </cell>
          <cell r="AY216" t="str">
            <v>--</v>
          </cell>
          <cell r="AZ216" t="str">
            <v>--</v>
          </cell>
          <cell r="BA216" t="str">
            <v>--</v>
          </cell>
          <cell r="BB216" t="str">
            <v>--</v>
          </cell>
          <cell r="BC216" t="str">
            <v>--</v>
          </cell>
          <cell r="BD216" t="str">
            <v>--</v>
          </cell>
          <cell r="BE216" t="str">
            <v>--</v>
          </cell>
          <cell r="BF216" t="str">
            <v>--</v>
          </cell>
          <cell r="BG216" t="str">
            <v>--</v>
          </cell>
          <cell r="BH216" t="str">
            <v>--</v>
          </cell>
          <cell r="BI216" t="str">
            <v>--</v>
          </cell>
          <cell r="BJ216" t="str">
            <v>--</v>
          </cell>
          <cell r="BK216" t="str">
            <v>--</v>
          </cell>
          <cell r="BL216" t="str">
            <v>--</v>
          </cell>
          <cell r="BM216" t="str">
            <v>--</v>
          </cell>
          <cell r="BN216" t="str">
            <v>--</v>
          </cell>
          <cell r="BO216" t="str">
            <v>--</v>
          </cell>
          <cell r="BP216" t="str">
            <v>--</v>
          </cell>
          <cell r="BQ216" t="str">
            <v>--</v>
          </cell>
          <cell r="BR216" t="str">
            <v>--</v>
          </cell>
          <cell r="BS216" t="str">
            <v>--</v>
          </cell>
          <cell r="BT216" t="str">
            <v>--</v>
          </cell>
          <cell r="BU216" t="str">
            <v>--</v>
          </cell>
          <cell r="BV216" t="str">
            <v>--</v>
          </cell>
          <cell r="BW216" t="str">
            <v>--</v>
          </cell>
          <cell r="BX216" t="str">
            <v>--</v>
          </cell>
          <cell r="BY216" t="str">
            <v>--</v>
          </cell>
          <cell r="BZ216" t="str">
            <v>--</v>
          </cell>
          <cell r="CA216" t="str">
            <v>--</v>
          </cell>
          <cell r="CB216" t="str">
            <v>--</v>
          </cell>
          <cell r="CC216" t="str">
            <v>--</v>
          </cell>
          <cell r="CD216" t="str">
            <v>--</v>
          </cell>
          <cell r="CE216" t="str">
            <v>--</v>
          </cell>
          <cell r="CF216" t="str">
            <v>--</v>
          </cell>
          <cell r="CG216" t="str">
            <v>--</v>
          </cell>
          <cell r="CH216" t="str">
            <v>--</v>
          </cell>
          <cell r="CI216" t="str">
            <v>--</v>
          </cell>
          <cell r="CJ216" t="str">
            <v>--</v>
          </cell>
          <cell r="CK216" t="str">
            <v>--</v>
          </cell>
          <cell r="CL216" t="str">
            <v>--</v>
          </cell>
          <cell r="CM216" t="str">
            <v>--</v>
          </cell>
          <cell r="CN216" t="str">
            <v>--</v>
          </cell>
          <cell r="CO216" t="str">
            <v>--</v>
          </cell>
          <cell r="CP216" t="str">
            <v>--</v>
          </cell>
          <cell r="CQ216" t="str">
            <v>--</v>
          </cell>
          <cell r="CR216" t="str">
            <v>--</v>
          </cell>
          <cell r="CS216" t="str">
            <v>--</v>
          </cell>
          <cell r="CT216" t="str">
            <v>--</v>
          </cell>
          <cell r="CU216" t="str">
            <v>--</v>
          </cell>
          <cell r="CV216" t="str">
            <v>--</v>
          </cell>
          <cell r="CW216" t="str">
            <v>--</v>
          </cell>
          <cell r="CX216" t="str">
            <v>--</v>
          </cell>
          <cell r="CY216" t="str">
            <v>--</v>
          </cell>
          <cell r="CZ216" t="str">
            <v>--</v>
          </cell>
          <cell r="DA216" t="str">
            <v>--</v>
          </cell>
          <cell r="DB216" t="str">
            <v>--</v>
          </cell>
          <cell r="DC216" t="str">
            <v>--</v>
          </cell>
          <cell r="DD216" t="str">
            <v>--</v>
          </cell>
          <cell r="DE216" t="str">
            <v>--</v>
          </cell>
          <cell r="DF216" t="str">
            <v>--</v>
          </cell>
          <cell r="DG216" t="str">
            <v>--</v>
          </cell>
          <cell r="DH216" t="str">
            <v>--</v>
          </cell>
          <cell r="DI216" t="str">
            <v>--</v>
          </cell>
          <cell r="DJ216" t="str">
            <v>--</v>
          </cell>
          <cell r="DK216" t="str">
            <v>--</v>
          </cell>
          <cell r="DL216" t="str">
            <v>--</v>
          </cell>
          <cell r="DM216" t="str">
            <v>--</v>
          </cell>
          <cell r="DN216" t="str">
            <v>--</v>
          </cell>
          <cell r="DO216" t="str">
            <v>--</v>
          </cell>
          <cell r="DP216" t="str">
            <v>--</v>
          </cell>
          <cell r="DQ216" t="str">
            <v>--</v>
          </cell>
          <cell r="DR216" t="str">
            <v>--</v>
          </cell>
          <cell r="DS216" t="str">
            <v>--</v>
          </cell>
          <cell r="DT216" t="str">
            <v>--</v>
          </cell>
          <cell r="DU216" t="str">
            <v>--</v>
          </cell>
          <cell r="DV216" t="str">
            <v>--</v>
          </cell>
          <cell r="DW216" t="str">
            <v>--</v>
          </cell>
          <cell r="DX216" t="str">
            <v>--</v>
          </cell>
          <cell r="DY216" t="str">
            <v>--</v>
          </cell>
          <cell r="DZ216" t="str">
            <v>--</v>
          </cell>
          <cell r="EA216" t="str">
            <v>--</v>
          </cell>
          <cell r="EB216" t="str">
            <v>--</v>
          </cell>
          <cell r="EC216" t="str">
            <v>--</v>
          </cell>
          <cell r="ED216" t="str">
            <v>--</v>
          </cell>
          <cell r="EE216" t="str">
            <v>--</v>
          </cell>
          <cell r="EF216" t="str">
            <v>--</v>
          </cell>
          <cell r="EG216" t="str">
            <v>--</v>
          </cell>
        </row>
        <row r="217">
          <cell r="A217" t="str">
            <v>01490534High needs</v>
          </cell>
          <cell r="B217" t="str">
            <v>01490534S</v>
          </cell>
          <cell r="C217" t="str">
            <v>0149</v>
          </cell>
          <cell r="D217" t="str">
            <v>01490534</v>
          </cell>
          <cell r="E217" t="str">
            <v>Lawrence</v>
          </cell>
          <cell r="F217" t="str">
            <v>International High School</v>
          </cell>
          <cell r="G217" t="str">
            <v>HS</v>
          </cell>
          <cell r="H217" t="str">
            <v>Lawrence - International High School (01490534)</v>
          </cell>
          <cell r="I217" t="str">
            <v>High needs</v>
          </cell>
          <cell r="J217" t="str">
            <v>01490534High needs</v>
          </cell>
          <cell r="K217" t="str">
            <v>Level 4</v>
          </cell>
          <cell r="L217">
            <v>58.2</v>
          </cell>
          <cell r="M217">
            <v>61.7</v>
          </cell>
          <cell r="N217">
            <v>50.1</v>
          </cell>
          <cell r="O217">
            <v>65.2</v>
          </cell>
          <cell r="P217">
            <v>46.2</v>
          </cell>
          <cell r="Q217">
            <v>68.7</v>
          </cell>
          <cell r="R217">
            <v>72.099999999999994</v>
          </cell>
          <cell r="S217">
            <v>75.599999999999994</v>
          </cell>
          <cell r="T217">
            <v>79.099999999999994</v>
          </cell>
          <cell r="U217">
            <v>40.299999999999997</v>
          </cell>
          <cell r="V217">
            <v>45.3</v>
          </cell>
          <cell r="W217">
            <v>35.299999999999997</v>
          </cell>
          <cell r="X217">
            <v>50.3</v>
          </cell>
          <cell r="Y217">
            <v>44.4</v>
          </cell>
          <cell r="Z217">
            <v>55.2</v>
          </cell>
          <cell r="AA217">
            <v>60.2</v>
          </cell>
          <cell r="AB217">
            <v>65.2</v>
          </cell>
          <cell r="AC217">
            <v>70.2</v>
          </cell>
          <cell r="AD217">
            <v>42.2</v>
          </cell>
          <cell r="AE217">
            <v>47</v>
          </cell>
          <cell r="AF217">
            <v>46.3</v>
          </cell>
          <cell r="AG217">
            <v>51.8</v>
          </cell>
          <cell r="AH217">
            <v>38.200000000000003</v>
          </cell>
          <cell r="AI217">
            <v>56.7</v>
          </cell>
          <cell r="AJ217">
            <v>61.5</v>
          </cell>
          <cell r="AK217">
            <v>66.3</v>
          </cell>
          <cell r="AL217">
            <v>71.099999999999994</v>
          </cell>
          <cell r="AM217">
            <v>61.3</v>
          </cell>
          <cell r="AN217">
            <v>63.8</v>
          </cell>
          <cell r="AO217">
            <v>52.5</v>
          </cell>
          <cell r="AP217">
            <v>55</v>
          </cell>
          <cell r="AQ217">
            <v>61.9</v>
          </cell>
          <cell r="AR217">
            <v>64.400000000000006</v>
          </cell>
          <cell r="AS217">
            <v>66.900000000000006</v>
          </cell>
          <cell r="AT217">
            <v>69.400000000000006</v>
          </cell>
          <cell r="AU217">
            <v>71.900000000000006</v>
          </cell>
          <cell r="AV217">
            <v>56.8</v>
          </cell>
          <cell r="AW217">
            <v>59.3</v>
          </cell>
          <cell r="AX217">
            <v>64.400000000000006</v>
          </cell>
          <cell r="AY217">
            <v>66.900000000000006</v>
          </cell>
          <cell r="AZ217">
            <v>55.4</v>
          </cell>
          <cell r="BA217">
            <v>57.9</v>
          </cell>
          <cell r="BB217">
            <v>60.4</v>
          </cell>
          <cell r="BC217">
            <v>62.9</v>
          </cell>
          <cell r="BD217">
            <v>65.400000000000006</v>
          </cell>
          <cell r="BE217">
            <v>7.7</v>
          </cell>
          <cell r="BF217">
            <v>7.1</v>
          </cell>
          <cell r="BG217">
            <v>7.1</v>
          </cell>
          <cell r="BH217">
            <v>6.4</v>
          </cell>
          <cell r="BI217">
            <v>7.8</v>
          </cell>
          <cell r="BJ217">
            <v>5.8</v>
          </cell>
          <cell r="BK217">
            <v>5.0999999999999996</v>
          </cell>
          <cell r="BL217">
            <v>4.5</v>
          </cell>
          <cell r="BM217">
            <v>3.9</v>
          </cell>
          <cell r="BN217">
            <v>35</v>
          </cell>
          <cell r="BO217">
            <v>45</v>
          </cell>
          <cell r="BP217">
            <v>51</v>
          </cell>
          <cell r="BQ217">
            <v>51</v>
          </cell>
          <cell r="BR217" t="str">
            <v>--</v>
          </cell>
          <cell r="BS217">
            <v>51</v>
          </cell>
          <cell r="BT217">
            <v>51</v>
          </cell>
          <cell r="BU217">
            <v>51</v>
          </cell>
          <cell r="BV217">
            <v>51</v>
          </cell>
          <cell r="BW217">
            <v>21.5</v>
          </cell>
          <cell r="BX217">
            <v>31.5</v>
          </cell>
          <cell r="BY217">
            <v>25</v>
          </cell>
          <cell r="BZ217">
            <v>41.5</v>
          </cell>
          <cell r="CA217" t="str">
            <v>--</v>
          </cell>
          <cell r="CB217">
            <v>51</v>
          </cell>
          <cell r="CC217">
            <v>51</v>
          </cell>
          <cell r="CD217">
            <v>51</v>
          </cell>
          <cell r="CE217">
            <v>51</v>
          </cell>
          <cell r="CF217">
            <v>34.200000000000003</v>
          </cell>
          <cell r="CG217">
            <v>30.8</v>
          </cell>
          <cell r="CH217">
            <v>35.9</v>
          </cell>
          <cell r="CI217">
            <v>32.299999999999997</v>
          </cell>
          <cell r="CJ217">
            <v>43.5</v>
          </cell>
          <cell r="CK217">
            <v>39.200000000000003</v>
          </cell>
          <cell r="CL217">
            <v>35.200000000000003</v>
          </cell>
          <cell r="CM217">
            <v>31.7</v>
          </cell>
          <cell r="CN217">
            <v>28.5</v>
          </cell>
          <cell r="CO217">
            <v>57.3</v>
          </cell>
          <cell r="CP217">
            <v>51.6</v>
          </cell>
          <cell r="CQ217">
            <v>64.900000000000006</v>
          </cell>
          <cell r="CR217">
            <v>58.4</v>
          </cell>
          <cell r="CS217">
            <v>48.2</v>
          </cell>
          <cell r="CT217">
            <v>43.4</v>
          </cell>
          <cell r="CU217">
            <v>39</v>
          </cell>
          <cell r="CV217">
            <v>35.1</v>
          </cell>
          <cell r="CW217">
            <v>31.6</v>
          </cell>
          <cell r="CX217">
            <v>52.9</v>
          </cell>
          <cell r="CY217">
            <v>47.6</v>
          </cell>
          <cell r="CZ217">
            <v>38.299999999999997</v>
          </cell>
          <cell r="DA217">
            <v>34.5</v>
          </cell>
          <cell r="DB217">
            <v>71.099999999999994</v>
          </cell>
          <cell r="DC217">
            <v>64</v>
          </cell>
          <cell r="DD217">
            <v>57.6</v>
          </cell>
          <cell r="DE217">
            <v>51.8</v>
          </cell>
          <cell r="DF217">
            <v>46.6</v>
          </cell>
          <cell r="DG217">
            <v>0</v>
          </cell>
          <cell r="DH217">
            <v>1</v>
          </cell>
          <cell r="DI217">
            <v>0</v>
          </cell>
          <cell r="DJ217">
            <v>1</v>
          </cell>
          <cell r="DK217">
            <v>0</v>
          </cell>
          <cell r="DL217">
            <v>1</v>
          </cell>
          <cell r="DM217">
            <v>1.1000000000000001</v>
          </cell>
          <cell r="DN217">
            <v>1.2</v>
          </cell>
          <cell r="DO217">
            <v>1.3</v>
          </cell>
          <cell r="DP217">
            <v>4</v>
          </cell>
          <cell r="DQ217">
            <v>4.4000000000000004</v>
          </cell>
          <cell r="DR217">
            <v>1</v>
          </cell>
          <cell r="DS217">
            <v>1.1000000000000001</v>
          </cell>
          <cell r="DT217">
            <v>4.7</v>
          </cell>
          <cell r="DU217">
            <v>5.2</v>
          </cell>
          <cell r="DV217">
            <v>5.7</v>
          </cell>
          <cell r="DW217">
            <v>6.3</v>
          </cell>
          <cell r="DX217">
            <v>6.9</v>
          </cell>
          <cell r="DY217">
            <v>0</v>
          </cell>
          <cell r="DZ217">
            <v>1</v>
          </cell>
          <cell r="EA217">
            <v>0</v>
          </cell>
          <cell r="EB217">
            <v>1</v>
          </cell>
          <cell r="EC217">
            <v>0</v>
          </cell>
          <cell r="ED217">
            <v>1</v>
          </cell>
          <cell r="EE217">
            <v>1.1000000000000001</v>
          </cell>
          <cell r="EF217">
            <v>1.2</v>
          </cell>
          <cell r="EG217">
            <v>1.3</v>
          </cell>
        </row>
        <row r="218">
          <cell r="A218" t="str">
            <v>01490534All students</v>
          </cell>
          <cell r="B218" t="str">
            <v>01490534T</v>
          </cell>
          <cell r="C218" t="str">
            <v>0149</v>
          </cell>
          <cell r="D218" t="str">
            <v>01490534</v>
          </cell>
          <cell r="E218" t="str">
            <v>Lawrence</v>
          </cell>
          <cell r="F218" t="str">
            <v>International High School</v>
          </cell>
          <cell r="G218" t="str">
            <v>HS</v>
          </cell>
          <cell r="H218" t="str">
            <v>Lawrence - International High School (01490534)</v>
          </cell>
          <cell r="I218" t="str">
            <v>All students</v>
          </cell>
          <cell r="J218" t="str">
            <v>01490534All students</v>
          </cell>
          <cell r="K218" t="str">
            <v>Level 4</v>
          </cell>
          <cell r="L218">
            <v>60.2</v>
          </cell>
          <cell r="M218">
            <v>63.5</v>
          </cell>
          <cell r="N218">
            <v>50.4</v>
          </cell>
          <cell r="O218">
            <v>66.8</v>
          </cell>
          <cell r="P218">
            <v>46.2</v>
          </cell>
          <cell r="Q218">
            <v>70.2</v>
          </cell>
          <cell r="R218">
            <v>73.5</v>
          </cell>
          <cell r="S218">
            <v>76.8</v>
          </cell>
          <cell r="T218">
            <v>80.099999999999994</v>
          </cell>
          <cell r="U218">
            <v>41.9</v>
          </cell>
          <cell r="V218">
            <v>46.7</v>
          </cell>
          <cell r="W218">
            <v>35.299999999999997</v>
          </cell>
          <cell r="X218">
            <v>51.6</v>
          </cell>
          <cell r="Y218">
            <v>44.4</v>
          </cell>
          <cell r="Z218">
            <v>56.4</v>
          </cell>
          <cell r="AA218">
            <v>61.3</v>
          </cell>
          <cell r="AB218">
            <v>66.099999999999994</v>
          </cell>
          <cell r="AC218">
            <v>71</v>
          </cell>
          <cell r="AD218">
            <v>43.9</v>
          </cell>
          <cell r="AE218">
            <v>48.6</v>
          </cell>
          <cell r="AF218">
            <v>46.4</v>
          </cell>
          <cell r="AG218">
            <v>53.3</v>
          </cell>
          <cell r="AH218">
            <v>38.200000000000003</v>
          </cell>
          <cell r="AI218">
            <v>57.9</v>
          </cell>
          <cell r="AJ218">
            <v>62.6</v>
          </cell>
          <cell r="AK218">
            <v>67.3</v>
          </cell>
          <cell r="AL218">
            <v>72</v>
          </cell>
          <cell r="AM218">
            <v>60.5</v>
          </cell>
          <cell r="AN218">
            <v>63</v>
          </cell>
          <cell r="AO218">
            <v>52.8</v>
          </cell>
          <cell r="AP218">
            <v>55.3</v>
          </cell>
          <cell r="AQ218">
            <v>60.5</v>
          </cell>
          <cell r="AR218">
            <v>63</v>
          </cell>
          <cell r="AS218">
            <v>65.5</v>
          </cell>
          <cell r="AT218">
            <v>68</v>
          </cell>
          <cell r="AU218">
            <v>70.5</v>
          </cell>
          <cell r="AV218">
            <v>56.3</v>
          </cell>
          <cell r="AW218">
            <v>58.8</v>
          </cell>
          <cell r="AX218">
            <v>63.5</v>
          </cell>
          <cell r="AY218">
            <v>66</v>
          </cell>
          <cell r="AZ218">
            <v>55.6</v>
          </cell>
          <cell r="BA218">
            <v>58.1</v>
          </cell>
          <cell r="BB218">
            <v>60.6</v>
          </cell>
          <cell r="BC218">
            <v>63.1</v>
          </cell>
          <cell r="BD218">
            <v>65.599999999999994</v>
          </cell>
          <cell r="BE218">
            <v>8</v>
          </cell>
          <cell r="BF218">
            <v>7.3</v>
          </cell>
          <cell r="BG218">
            <v>7.8</v>
          </cell>
          <cell r="BH218">
            <v>6.7</v>
          </cell>
          <cell r="BI218">
            <v>7.9</v>
          </cell>
          <cell r="BJ218">
            <v>6</v>
          </cell>
          <cell r="BK218">
            <v>5.3</v>
          </cell>
          <cell r="BL218">
            <v>4.7</v>
          </cell>
          <cell r="BM218">
            <v>4</v>
          </cell>
          <cell r="BN218">
            <v>45.5</v>
          </cell>
          <cell r="BO218">
            <v>51</v>
          </cell>
          <cell r="BP218">
            <v>45</v>
          </cell>
          <cell r="BQ218">
            <v>51</v>
          </cell>
          <cell r="BR218" t="str">
            <v>--</v>
          </cell>
          <cell r="BS218">
            <v>51</v>
          </cell>
          <cell r="BT218">
            <v>51</v>
          </cell>
          <cell r="BU218">
            <v>51</v>
          </cell>
          <cell r="BV218">
            <v>51</v>
          </cell>
          <cell r="BW218">
            <v>28</v>
          </cell>
          <cell r="BX218">
            <v>38</v>
          </cell>
          <cell r="BY218">
            <v>26</v>
          </cell>
          <cell r="BZ218">
            <v>36</v>
          </cell>
          <cell r="CA218" t="str">
            <v>--</v>
          </cell>
          <cell r="CB218">
            <v>36</v>
          </cell>
          <cell r="CC218">
            <v>46</v>
          </cell>
          <cell r="CD218">
            <v>51</v>
          </cell>
          <cell r="CE218">
            <v>51</v>
          </cell>
          <cell r="CF218">
            <v>32.1</v>
          </cell>
          <cell r="CG218">
            <v>28.9</v>
          </cell>
          <cell r="CH218">
            <v>35.700000000000003</v>
          </cell>
          <cell r="CI218">
            <v>32.1</v>
          </cell>
          <cell r="CJ218">
            <v>43.5</v>
          </cell>
          <cell r="CK218">
            <v>39.200000000000003</v>
          </cell>
          <cell r="CL218">
            <v>35.200000000000003</v>
          </cell>
          <cell r="CM218">
            <v>31.7</v>
          </cell>
          <cell r="CN218">
            <v>28.5</v>
          </cell>
          <cell r="CO218">
            <v>55</v>
          </cell>
          <cell r="CP218">
            <v>49.5</v>
          </cell>
          <cell r="CQ218">
            <v>64.5</v>
          </cell>
          <cell r="CR218">
            <v>58.1</v>
          </cell>
          <cell r="CS218">
            <v>48.2</v>
          </cell>
          <cell r="CT218">
            <v>43.4</v>
          </cell>
          <cell r="CU218">
            <v>39</v>
          </cell>
          <cell r="CV218">
            <v>35.1</v>
          </cell>
          <cell r="CW218">
            <v>31.6</v>
          </cell>
          <cell r="CX218">
            <v>50.9</v>
          </cell>
          <cell r="CY218">
            <v>45.8</v>
          </cell>
          <cell r="CZ218">
            <v>37.5</v>
          </cell>
          <cell r="DA218">
            <v>33.799999999999997</v>
          </cell>
          <cell r="DB218">
            <v>71.099999999999994</v>
          </cell>
          <cell r="DC218">
            <v>64</v>
          </cell>
          <cell r="DD218">
            <v>57.6</v>
          </cell>
          <cell r="DE218">
            <v>51.8</v>
          </cell>
          <cell r="DF218">
            <v>46.6</v>
          </cell>
          <cell r="DG218">
            <v>0</v>
          </cell>
          <cell r="DH218">
            <v>1</v>
          </cell>
          <cell r="DI218">
            <v>0</v>
          </cell>
          <cell r="DJ218">
            <v>1</v>
          </cell>
          <cell r="DK218">
            <v>0</v>
          </cell>
          <cell r="DL218">
            <v>1</v>
          </cell>
          <cell r="DM218">
            <v>1.1000000000000001</v>
          </cell>
          <cell r="DN218">
            <v>1.2</v>
          </cell>
          <cell r="DO218">
            <v>1.3</v>
          </cell>
          <cell r="DP218">
            <v>5</v>
          </cell>
          <cell r="DQ218">
            <v>5.5</v>
          </cell>
          <cell r="DR218">
            <v>1</v>
          </cell>
          <cell r="DS218">
            <v>1.1000000000000001</v>
          </cell>
          <cell r="DT218">
            <v>4.7</v>
          </cell>
          <cell r="DU218">
            <v>5.2</v>
          </cell>
          <cell r="DV218">
            <v>5.7</v>
          </cell>
          <cell r="DW218">
            <v>6.3</v>
          </cell>
          <cell r="DX218">
            <v>6.9</v>
          </cell>
          <cell r="DY218">
            <v>0</v>
          </cell>
          <cell r="DZ218">
            <v>1</v>
          </cell>
          <cell r="EA218">
            <v>0</v>
          </cell>
          <cell r="EB218">
            <v>1</v>
          </cell>
          <cell r="EC218">
            <v>0</v>
          </cell>
          <cell r="ED218">
            <v>1</v>
          </cell>
          <cell r="EE218">
            <v>1.1000000000000001</v>
          </cell>
          <cell r="EF218">
            <v>1.2</v>
          </cell>
          <cell r="EG218">
            <v>1.3</v>
          </cell>
        </row>
        <row r="219">
          <cell r="A219" t="str">
            <v>02010078Asian</v>
          </cell>
          <cell r="B219" t="str">
            <v>02010078A</v>
          </cell>
          <cell r="C219" t="str">
            <v>0201</v>
          </cell>
          <cell r="D219" t="str">
            <v>02010078</v>
          </cell>
          <cell r="E219" t="str">
            <v>New Bedford</v>
          </cell>
          <cell r="F219" t="str">
            <v>Hayden/McFadden</v>
          </cell>
          <cell r="G219" t="str">
            <v>ES</v>
          </cell>
          <cell r="H219" t="str">
            <v>New Bedford - Hayden/McFadden (02010078)</v>
          </cell>
          <cell r="I219" t="str">
            <v>Asian</v>
          </cell>
          <cell r="J219" t="str">
            <v>02010078Asian</v>
          </cell>
          <cell r="K219" t="str">
            <v>--</v>
          </cell>
          <cell r="L219" t="str">
            <v>--</v>
          </cell>
          <cell r="M219" t="str">
            <v>--</v>
          </cell>
          <cell r="N219" t="str">
            <v>--</v>
          </cell>
          <cell r="O219" t="str">
            <v>--</v>
          </cell>
          <cell r="P219" t="str">
            <v>--</v>
          </cell>
          <cell r="Q219" t="str">
            <v>--</v>
          </cell>
          <cell r="R219" t="str">
            <v>--</v>
          </cell>
          <cell r="S219" t="str">
            <v>--</v>
          </cell>
          <cell r="T219" t="str">
            <v>--</v>
          </cell>
          <cell r="U219" t="str">
            <v>--</v>
          </cell>
          <cell r="V219" t="str">
            <v>--</v>
          </cell>
          <cell r="W219" t="str">
            <v>--</v>
          </cell>
          <cell r="X219" t="str">
            <v>--</v>
          </cell>
          <cell r="Y219" t="str">
            <v>--</v>
          </cell>
          <cell r="Z219" t="str">
            <v>--</v>
          </cell>
          <cell r="AA219" t="str">
            <v>--</v>
          </cell>
          <cell r="AB219" t="str">
            <v>--</v>
          </cell>
          <cell r="AC219" t="str">
            <v>--</v>
          </cell>
          <cell r="AD219" t="str">
            <v>--</v>
          </cell>
          <cell r="AE219" t="str">
            <v>--</v>
          </cell>
          <cell r="AF219" t="str">
            <v>--</v>
          </cell>
          <cell r="AG219" t="str">
            <v>--</v>
          </cell>
          <cell r="AH219" t="str">
            <v>--</v>
          </cell>
          <cell r="AI219" t="str">
            <v>--</v>
          </cell>
          <cell r="AJ219" t="str">
            <v>--</v>
          </cell>
          <cell r="AK219" t="str">
            <v>--</v>
          </cell>
          <cell r="AL219" t="str">
            <v>--</v>
          </cell>
          <cell r="AM219" t="str">
            <v>--</v>
          </cell>
          <cell r="AN219" t="str">
            <v>--</v>
          </cell>
          <cell r="AO219" t="str">
            <v>--</v>
          </cell>
          <cell r="AP219" t="str">
            <v>--</v>
          </cell>
          <cell r="AQ219" t="str">
            <v>--</v>
          </cell>
          <cell r="AR219" t="str">
            <v>--</v>
          </cell>
          <cell r="AS219" t="str">
            <v>--</v>
          </cell>
          <cell r="AT219" t="str">
            <v>--</v>
          </cell>
          <cell r="AU219" t="str">
            <v>--</v>
          </cell>
          <cell r="AV219" t="str">
            <v>--</v>
          </cell>
          <cell r="AW219" t="str">
            <v>--</v>
          </cell>
          <cell r="AX219" t="str">
            <v>--</v>
          </cell>
          <cell r="AY219" t="str">
            <v>--</v>
          </cell>
          <cell r="AZ219" t="str">
            <v>--</v>
          </cell>
          <cell r="BA219" t="str">
            <v>--</v>
          </cell>
          <cell r="BB219" t="str">
            <v>--</v>
          </cell>
          <cell r="BC219" t="str">
            <v>--</v>
          </cell>
          <cell r="BD219" t="str">
            <v>--</v>
          </cell>
          <cell r="BE219" t="str">
            <v>--</v>
          </cell>
          <cell r="BF219" t="str">
            <v>--</v>
          </cell>
          <cell r="BG219" t="str">
            <v>--</v>
          </cell>
          <cell r="BH219" t="str">
            <v>--</v>
          </cell>
          <cell r="BI219" t="str">
            <v>--</v>
          </cell>
          <cell r="BJ219" t="str">
            <v>--</v>
          </cell>
          <cell r="BK219" t="str">
            <v>--</v>
          </cell>
          <cell r="BL219" t="str">
            <v>--</v>
          </cell>
          <cell r="BM219" t="str">
            <v>--</v>
          </cell>
          <cell r="BN219" t="str">
            <v>--</v>
          </cell>
          <cell r="BO219" t="str">
            <v>--</v>
          </cell>
          <cell r="BP219" t="str">
            <v>--</v>
          </cell>
          <cell r="BQ219" t="str">
            <v>--</v>
          </cell>
          <cell r="BR219" t="str">
            <v>--</v>
          </cell>
          <cell r="BS219" t="str">
            <v>--</v>
          </cell>
          <cell r="BT219" t="str">
            <v>--</v>
          </cell>
          <cell r="BU219" t="str">
            <v>--</v>
          </cell>
          <cell r="BV219" t="str">
            <v>--</v>
          </cell>
          <cell r="BW219" t="str">
            <v>--</v>
          </cell>
          <cell r="BX219" t="str">
            <v>--</v>
          </cell>
          <cell r="BY219" t="str">
            <v>--</v>
          </cell>
          <cell r="BZ219" t="str">
            <v>--</v>
          </cell>
          <cell r="CA219" t="str">
            <v>--</v>
          </cell>
          <cell r="CB219" t="str">
            <v>--</v>
          </cell>
          <cell r="CC219" t="str">
            <v>--</v>
          </cell>
          <cell r="CD219" t="str">
            <v>--</v>
          </cell>
          <cell r="CE219" t="str">
            <v>--</v>
          </cell>
          <cell r="CF219" t="str">
            <v>--</v>
          </cell>
          <cell r="CG219" t="str">
            <v>--</v>
          </cell>
          <cell r="CH219" t="str">
            <v>--</v>
          </cell>
          <cell r="CI219" t="str">
            <v>--</v>
          </cell>
          <cell r="CJ219" t="str">
            <v>--</v>
          </cell>
          <cell r="CK219" t="str">
            <v>--</v>
          </cell>
          <cell r="CL219" t="str">
            <v>--</v>
          </cell>
          <cell r="CM219" t="str">
            <v>--</v>
          </cell>
          <cell r="CN219" t="str">
            <v>--</v>
          </cell>
          <cell r="CO219" t="str">
            <v>--</v>
          </cell>
          <cell r="CP219" t="str">
            <v>--</v>
          </cell>
          <cell r="CQ219" t="str">
            <v>--</v>
          </cell>
          <cell r="CR219" t="str">
            <v>--</v>
          </cell>
          <cell r="CS219" t="str">
            <v>--</v>
          </cell>
          <cell r="CT219" t="str">
            <v>--</v>
          </cell>
          <cell r="CU219" t="str">
            <v>--</v>
          </cell>
          <cell r="CV219" t="str">
            <v>--</v>
          </cell>
          <cell r="CW219" t="str">
            <v>--</v>
          </cell>
          <cell r="CX219" t="str">
            <v>--</v>
          </cell>
          <cell r="CY219" t="str">
            <v>--</v>
          </cell>
          <cell r="CZ219" t="str">
            <v>--</v>
          </cell>
          <cell r="DA219" t="str">
            <v>--</v>
          </cell>
          <cell r="DB219" t="str">
            <v>--</v>
          </cell>
          <cell r="DC219" t="str">
            <v>--</v>
          </cell>
          <cell r="DD219" t="str">
            <v>--</v>
          </cell>
          <cell r="DE219" t="str">
            <v>--</v>
          </cell>
          <cell r="DF219" t="str">
            <v>--</v>
          </cell>
          <cell r="DG219" t="str">
            <v>--</v>
          </cell>
          <cell r="DH219" t="str">
            <v>--</v>
          </cell>
          <cell r="DI219" t="str">
            <v>--</v>
          </cell>
          <cell r="DJ219" t="str">
            <v>--</v>
          </cell>
          <cell r="DK219" t="str">
            <v>--</v>
          </cell>
          <cell r="DL219" t="str">
            <v>--</v>
          </cell>
          <cell r="DM219" t="str">
            <v>--</v>
          </cell>
          <cell r="DN219" t="str">
            <v>--</v>
          </cell>
          <cell r="DO219" t="str">
            <v>--</v>
          </cell>
          <cell r="DP219" t="str">
            <v>--</v>
          </cell>
          <cell r="DQ219" t="str">
            <v>--</v>
          </cell>
          <cell r="DR219" t="str">
            <v>--</v>
          </cell>
          <cell r="DS219" t="str">
            <v>--</v>
          </cell>
          <cell r="DT219" t="str">
            <v>--</v>
          </cell>
          <cell r="DU219" t="str">
            <v>--</v>
          </cell>
          <cell r="DV219" t="str">
            <v>--</v>
          </cell>
          <cell r="DW219" t="str">
            <v>--</v>
          </cell>
          <cell r="DX219" t="str">
            <v>--</v>
          </cell>
          <cell r="DY219" t="str">
            <v>--</v>
          </cell>
          <cell r="DZ219" t="str">
            <v>--</v>
          </cell>
          <cell r="EA219" t="str">
            <v>--</v>
          </cell>
          <cell r="EB219" t="str">
            <v>--</v>
          </cell>
          <cell r="EC219" t="str">
            <v>--</v>
          </cell>
          <cell r="ED219" t="str">
            <v>--</v>
          </cell>
          <cell r="EE219" t="str">
            <v>--</v>
          </cell>
          <cell r="EF219" t="str">
            <v>--</v>
          </cell>
          <cell r="EG219" t="str">
            <v>--</v>
          </cell>
        </row>
        <row r="220">
          <cell r="A220" t="str">
            <v>02010078Afr. Amer/Black</v>
          </cell>
          <cell r="B220" t="str">
            <v>02010078B</v>
          </cell>
          <cell r="C220" t="str">
            <v>0201</v>
          </cell>
          <cell r="D220" t="str">
            <v>02010078</v>
          </cell>
          <cell r="E220" t="str">
            <v>New Bedford</v>
          </cell>
          <cell r="F220" t="str">
            <v>Hayden/McFadden</v>
          </cell>
          <cell r="G220" t="str">
            <v>ES</v>
          </cell>
          <cell r="H220" t="str">
            <v>New Bedford - Hayden/McFadden (02010078)</v>
          </cell>
          <cell r="I220" t="str">
            <v>Afr. Amer/Black</v>
          </cell>
          <cell r="J220" t="str">
            <v>02010078Afr. Amer/Black</v>
          </cell>
          <cell r="K220" t="str">
            <v>--</v>
          </cell>
          <cell r="L220">
            <v>65</v>
          </cell>
          <cell r="M220">
            <v>67.900000000000006</v>
          </cell>
          <cell r="N220">
            <v>64.3</v>
          </cell>
          <cell r="O220">
            <v>70.8</v>
          </cell>
          <cell r="P220">
            <v>60.3</v>
          </cell>
          <cell r="Q220">
            <v>73.8</v>
          </cell>
          <cell r="R220">
            <v>76.7</v>
          </cell>
          <cell r="S220">
            <v>79.599999999999994</v>
          </cell>
          <cell r="T220">
            <v>82.5</v>
          </cell>
          <cell r="U220">
            <v>67.5</v>
          </cell>
          <cell r="V220">
            <v>70.2</v>
          </cell>
          <cell r="W220">
            <v>53.7</v>
          </cell>
          <cell r="X220">
            <v>72.900000000000006</v>
          </cell>
          <cell r="Y220">
            <v>51.5</v>
          </cell>
          <cell r="Z220">
            <v>75.599999999999994</v>
          </cell>
          <cell r="AA220">
            <v>78.3</v>
          </cell>
          <cell r="AB220">
            <v>81</v>
          </cell>
          <cell r="AC220">
            <v>83.8</v>
          </cell>
          <cell r="AD220" t="str">
            <v>--</v>
          </cell>
          <cell r="AE220" t="str">
            <v>--</v>
          </cell>
          <cell r="AF220" t="str">
            <v>--</v>
          </cell>
          <cell r="AG220" t="str">
            <v>--</v>
          </cell>
          <cell r="AH220" t="str">
            <v>--</v>
          </cell>
          <cell r="AI220" t="str">
            <v>--</v>
          </cell>
          <cell r="AJ220" t="str">
            <v>--</v>
          </cell>
          <cell r="AK220" t="str">
            <v>--</v>
          </cell>
          <cell r="AL220" t="str">
            <v>--</v>
          </cell>
          <cell r="AM220" t="str">
            <v>--</v>
          </cell>
          <cell r="AN220" t="str">
            <v>--</v>
          </cell>
          <cell r="AO220" t="str">
            <v>--</v>
          </cell>
          <cell r="AP220" t="str">
            <v>--</v>
          </cell>
          <cell r="AQ220" t="str">
            <v>--</v>
          </cell>
          <cell r="AR220" t="str">
            <v>--</v>
          </cell>
          <cell r="AS220" t="str">
            <v>--</v>
          </cell>
          <cell r="AT220" t="str">
            <v>--</v>
          </cell>
          <cell r="AU220" t="str">
            <v>--</v>
          </cell>
          <cell r="AV220" t="str">
            <v>--</v>
          </cell>
          <cell r="AW220" t="str">
            <v>--</v>
          </cell>
          <cell r="AX220" t="str">
            <v>--</v>
          </cell>
          <cell r="AY220" t="str">
            <v>--</v>
          </cell>
          <cell r="AZ220" t="str">
            <v>--</v>
          </cell>
          <cell r="BA220" t="str">
            <v>--</v>
          </cell>
          <cell r="BB220" t="str">
            <v>--</v>
          </cell>
          <cell r="BC220" t="str">
            <v>--</v>
          </cell>
          <cell r="BD220" t="str">
            <v>--</v>
          </cell>
          <cell r="BE220" t="str">
            <v>--</v>
          </cell>
          <cell r="BF220" t="str">
            <v>--</v>
          </cell>
          <cell r="BG220" t="str">
            <v>--</v>
          </cell>
          <cell r="BH220" t="str">
            <v>--</v>
          </cell>
          <cell r="BI220" t="str">
            <v>--</v>
          </cell>
          <cell r="BJ220" t="str">
            <v>--</v>
          </cell>
          <cell r="BK220" t="str">
            <v>--</v>
          </cell>
          <cell r="BL220" t="str">
            <v>--</v>
          </cell>
          <cell r="BM220" t="str">
            <v>--</v>
          </cell>
          <cell r="BN220" t="str">
            <v>--</v>
          </cell>
          <cell r="BO220" t="str">
            <v>--</v>
          </cell>
          <cell r="BP220" t="str">
            <v>--</v>
          </cell>
          <cell r="BQ220" t="str">
            <v>--</v>
          </cell>
          <cell r="BR220" t="str">
            <v>--</v>
          </cell>
          <cell r="BS220" t="str">
            <v>--</v>
          </cell>
          <cell r="BT220" t="str">
            <v>--</v>
          </cell>
          <cell r="BU220" t="str">
            <v>--</v>
          </cell>
          <cell r="BV220" t="str">
            <v>--</v>
          </cell>
          <cell r="BW220" t="str">
            <v>--</v>
          </cell>
          <cell r="BX220" t="str">
            <v>--</v>
          </cell>
          <cell r="BY220" t="str">
            <v>--</v>
          </cell>
          <cell r="BZ220" t="str">
            <v>--</v>
          </cell>
          <cell r="CA220" t="str">
            <v>--</v>
          </cell>
          <cell r="CB220" t="str">
            <v>--</v>
          </cell>
          <cell r="CC220" t="str">
            <v>--</v>
          </cell>
          <cell r="CD220" t="str">
            <v>--</v>
          </cell>
          <cell r="CE220" t="str">
            <v>--</v>
          </cell>
          <cell r="CF220">
            <v>27.5</v>
          </cell>
          <cell r="CG220">
            <v>24.8</v>
          </cell>
          <cell r="CH220">
            <v>25.7</v>
          </cell>
          <cell r="CI220">
            <v>23.1</v>
          </cell>
          <cell r="CJ220">
            <v>35.299999999999997</v>
          </cell>
          <cell r="CK220">
            <v>31.8</v>
          </cell>
          <cell r="CL220">
            <v>28.6</v>
          </cell>
          <cell r="CM220">
            <v>25.7</v>
          </cell>
          <cell r="CN220">
            <v>23.2</v>
          </cell>
          <cell r="CO220">
            <v>25</v>
          </cell>
          <cell r="CP220">
            <v>22.5</v>
          </cell>
          <cell r="CQ220">
            <v>44.1</v>
          </cell>
          <cell r="CR220">
            <v>39.700000000000003</v>
          </cell>
          <cell r="CS220">
            <v>41.2</v>
          </cell>
          <cell r="CT220">
            <v>37.1</v>
          </cell>
          <cell r="CU220">
            <v>33.4</v>
          </cell>
          <cell r="CV220">
            <v>30</v>
          </cell>
          <cell r="CW220">
            <v>27</v>
          </cell>
          <cell r="CX220" t="str">
            <v>--</v>
          </cell>
          <cell r="CY220" t="str">
            <v>--</v>
          </cell>
          <cell r="CZ220" t="str">
            <v>--</v>
          </cell>
          <cell r="DA220" t="str">
            <v>--</v>
          </cell>
          <cell r="DB220" t="str">
            <v>--</v>
          </cell>
          <cell r="DC220" t="str">
            <v>--</v>
          </cell>
          <cell r="DD220" t="str">
            <v>--</v>
          </cell>
          <cell r="DE220" t="str">
            <v>--</v>
          </cell>
          <cell r="DF220" t="str">
            <v>--</v>
          </cell>
          <cell r="DG220">
            <v>0</v>
          </cell>
          <cell r="DH220">
            <v>1</v>
          </cell>
          <cell r="DI220">
            <v>0</v>
          </cell>
          <cell r="DJ220">
            <v>1</v>
          </cell>
          <cell r="DK220">
            <v>0</v>
          </cell>
          <cell r="DL220">
            <v>1</v>
          </cell>
          <cell r="DM220">
            <v>1.1000000000000001</v>
          </cell>
          <cell r="DN220">
            <v>1.2</v>
          </cell>
          <cell r="DO220">
            <v>1.3</v>
          </cell>
          <cell r="DP220">
            <v>2.5</v>
          </cell>
          <cell r="DQ220">
            <v>2.8</v>
          </cell>
          <cell r="DR220">
            <v>2.9</v>
          </cell>
          <cell r="DS220">
            <v>3.2</v>
          </cell>
          <cell r="DT220">
            <v>0</v>
          </cell>
          <cell r="DU220">
            <v>1</v>
          </cell>
          <cell r="DV220">
            <v>1.1000000000000001</v>
          </cell>
          <cell r="DW220">
            <v>1.2</v>
          </cell>
          <cell r="DX220">
            <v>1.3</v>
          </cell>
          <cell r="DY220" t="str">
            <v>--</v>
          </cell>
          <cell r="DZ220" t="str">
            <v>--</v>
          </cell>
          <cell r="EA220" t="str">
            <v>--</v>
          </cell>
          <cell r="EB220" t="str">
            <v>--</v>
          </cell>
          <cell r="EC220" t="str">
            <v>--</v>
          </cell>
          <cell r="ED220" t="str">
            <v>--</v>
          </cell>
          <cell r="EE220" t="str">
            <v>--</v>
          </cell>
          <cell r="EF220" t="str">
            <v>--</v>
          </cell>
          <cell r="EG220" t="str">
            <v>--</v>
          </cell>
        </row>
        <row r="221">
          <cell r="A221" t="str">
            <v>02010078White</v>
          </cell>
          <cell r="B221" t="str">
            <v>02010078C</v>
          </cell>
          <cell r="C221" t="str">
            <v>0201</v>
          </cell>
          <cell r="D221" t="str">
            <v>02010078</v>
          </cell>
          <cell r="E221" t="str">
            <v>New Bedford</v>
          </cell>
          <cell r="F221" t="str">
            <v>Hayden/McFadden</v>
          </cell>
          <cell r="G221" t="str">
            <v>ES</v>
          </cell>
          <cell r="H221" t="str">
            <v>New Bedford - Hayden/McFadden (02010078)</v>
          </cell>
          <cell r="I221" t="str">
            <v>White</v>
          </cell>
          <cell r="J221" t="str">
            <v>02010078White</v>
          </cell>
          <cell r="K221" t="str">
            <v>--</v>
          </cell>
          <cell r="L221">
            <v>60.9</v>
          </cell>
          <cell r="M221">
            <v>64.2</v>
          </cell>
          <cell r="N221">
            <v>58.2</v>
          </cell>
          <cell r="O221">
            <v>67.400000000000006</v>
          </cell>
          <cell r="P221">
            <v>54.9</v>
          </cell>
          <cell r="Q221">
            <v>70.7</v>
          </cell>
          <cell r="R221">
            <v>73.900000000000006</v>
          </cell>
          <cell r="S221">
            <v>77.2</v>
          </cell>
          <cell r="T221">
            <v>80.5</v>
          </cell>
          <cell r="U221">
            <v>59.8</v>
          </cell>
          <cell r="V221">
            <v>63.2</v>
          </cell>
          <cell r="W221">
            <v>48.9</v>
          </cell>
          <cell r="X221">
            <v>66.5</v>
          </cell>
          <cell r="Y221">
            <v>50.6</v>
          </cell>
          <cell r="Z221">
            <v>69.900000000000006</v>
          </cell>
          <cell r="AA221">
            <v>73.2</v>
          </cell>
          <cell r="AB221">
            <v>76.599999999999994</v>
          </cell>
          <cell r="AC221">
            <v>79.900000000000006</v>
          </cell>
          <cell r="AD221">
            <v>58.1</v>
          </cell>
          <cell r="AE221">
            <v>61.6</v>
          </cell>
          <cell r="AF221">
            <v>44.2</v>
          </cell>
          <cell r="AG221">
            <v>65.099999999999994</v>
          </cell>
          <cell r="AH221">
            <v>52.4</v>
          </cell>
          <cell r="AI221">
            <v>68.599999999999994</v>
          </cell>
          <cell r="AJ221">
            <v>72.099999999999994</v>
          </cell>
          <cell r="AK221">
            <v>75.599999999999994</v>
          </cell>
          <cell r="AL221">
            <v>79.099999999999994</v>
          </cell>
          <cell r="AM221" t="str">
            <v>--</v>
          </cell>
          <cell r="AN221" t="str">
            <v>--</v>
          </cell>
          <cell r="AO221" t="str">
            <v>--</v>
          </cell>
          <cell r="AP221" t="str">
            <v>--</v>
          </cell>
          <cell r="AQ221" t="str">
            <v>--</v>
          </cell>
          <cell r="AR221" t="str">
            <v>--</v>
          </cell>
          <cell r="AS221" t="str">
            <v>--</v>
          </cell>
          <cell r="AT221" t="str">
            <v>--</v>
          </cell>
          <cell r="AU221" t="str">
            <v>--</v>
          </cell>
          <cell r="AV221" t="str">
            <v>--</v>
          </cell>
          <cell r="AW221" t="str">
            <v>--</v>
          </cell>
          <cell r="AX221" t="str">
            <v>--</v>
          </cell>
          <cell r="AY221" t="str">
            <v>--</v>
          </cell>
          <cell r="AZ221" t="str">
            <v>--</v>
          </cell>
          <cell r="BA221" t="str">
            <v>--</v>
          </cell>
          <cell r="BB221" t="str">
            <v>--</v>
          </cell>
          <cell r="BC221" t="str">
            <v>--</v>
          </cell>
          <cell r="BD221" t="str">
            <v>--</v>
          </cell>
          <cell r="BE221" t="str">
            <v>--</v>
          </cell>
          <cell r="BF221" t="str">
            <v>--</v>
          </cell>
          <cell r="BG221" t="str">
            <v>--</v>
          </cell>
          <cell r="BH221" t="str">
            <v>--</v>
          </cell>
          <cell r="BI221" t="str">
            <v>--</v>
          </cell>
          <cell r="BJ221" t="str">
            <v>--</v>
          </cell>
          <cell r="BK221" t="str">
            <v>--</v>
          </cell>
          <cell r="BL221" t="str">
            <v>--</v>
          </cell>
          <cell r="BM221" t="str">
            <v>--</v>
          </cell>
          <cell r="BN221">
            <v>42.5</v>
          </cell>
          <cell r="BO221">
            <v>51</v>
          </cell>
          <cell r="BP221">
            <v>43</v>
          </cell>
          <cell r="BQ221">
            <v>51</v>
          </cell>
          <cell r="BR221">
            <v>34</v>
          </cell>
          <cell r="BS221">
            <v>44</v>
          </cell>
          <cell r="BT221">
            <v>51</v>
          </cell>
          <cell r="BU221">
            <v>51</v>
          </cell>
          <cell r="BV221">
            <v>51</v>
          </cell>
          <cell r="BW221">
            <v>56.5</v>
          </cell>
          <cell r="BX221">
            <v>51</v>
          </cell>
          <cell r="BY221">
            <v>19.5</v>
          </cell>
          <cell r="BZ221">
            <v>29.5</v>
          </cell>
          <cell r="CA221">
            <v>37</v>
          </cell>
          <cell r="CB221">
            <v>47</v>
          </cell>
          <cell r="CC221">
            <v>51</v>
          </cell>
          <cell r="CD221">
            <v>51</v>
          </cell>
          <cell r="CE221">
            <v>51</v>
          </cell>
          <cell r="CF221">
            <v>27.6</v>
          </cell>
          <cell r="CG221">
            <v>24.8</v>
          </cell>
          <cell r="CH221">
            <v>37.299999999999997</v>
          </cell>
          <cell r="CI221">
            <v>33.6</v>
          </cell>
          <cell r="CJ221">
            <v>31.9</v>
          </cell>
          <cell r="CK221">
            <v>28.7</v>
          </cell>
          <cell r="CL221">
            <v>25.8</v>
          </cell>
          <cell r="CM221">
            <v>23.3</v>
          </cell>
          <cell r="CN221">
            <v>20.9</v>
          </cell>
          <cell r="CO221">
            <v>29.9</v>
          </cell>
          <cell r="CP221">
            <v>26.9</v>
          </cell>
          <cell r="CQ221">
            <v>46.3</v>
          </cell>
          <cell r="CR221">
            <v>41.7</v>
          </cell>
          <cell r="CS221">
            <v>37.1</v>
          </cell>
          <cell r="CT221">
            <v>33.4</v>
          </cell>
          <cell r="CU221">
            <v>30.1</v>
          </cell>
          <cell r="CV221">
            <v>27</v>
          </cell>
          <cell r="CW221">
            <v>24.3</v>
          </cell>
          <cell r="CX221">
            <v>32.299999999999997</v>
          </cell>
          <cell r="CY221">
            <v>29.1</v>
          </cell>
          <cell r="CZ221">
            <v>57.7</v>
          </cell>
          <cell r="DA221">
            <v>51.9</v>
          </cell>
          <cell r="DB221">
            <v>38.1</v>
          </cell>
          <cell r="DC221">
            <v>34.299999999999997</v>
          </cell>
          <cell r="DD221">
            <v>30.9</v>
          </cell>
          <cell r="DE221">
            <v>27.8</v>
          </cell>
          <cell r="DF221">
            <v>25</v>
          </cell>
          <cell r="DG221">
            <v>2.2999999999999998</v>
          </cell>
          <cell r="DH221">
            <v>2.5</v>
          </cell>
          <cell r="DI221">
            <v>4.5</v>
          </cell>
          <cell r="DJ221">
            <v>5</v>
          </cell>
          <cell r="DK221">
            <v>0</v>
          </cell>
          <cell r="DL221">
            <v>1</v>
          </cell>
          <cell r="DM221">
            <v>1.1000000000000001</v>
          </cell>
          <cell r="DN221">
            <v>1.2</v>
          </cell>
          <cell r="DO221">
            <v>1.3</v>
          </cell>
          <cell r="DP221">
            <v>2.2999999999999998</v>
          </cell>
          <cell r="DQ221">
            <v>2.5</v>
          </cell>
          <cell r="DR221">
            <v>1.5</v>
          </cell>
          <cell r="DS221">
            <v>1.7</v>
          </cell>
          <cell r="DT221">
            <v>2.2000000000000002</v>
          </cell>
          <cell r="DU221">
            <v>2.4</v>
          </cell>
          <cell r="DV221">
            <v>2.7</v>
          </cell>
          <cell r="DW221">
            <v>2.9</v>
          </cell>
          <cell r="DX221">
            <v>3.2</v>
          </cell>
          <cell r="DY221">
            <v>0</v>
          </cell>
          <cell r="DZ221">
            <v>1</v>
          </cell>
          <cell r="EA221">
            <v>0</v>
          </cell>
          <cell r="EB221">
            <v>1</v>
          </cell>
          <cell r="EC221">
            <v>0</v>
          </cell>
          <cell r="ED221">
            <v>1</v>
          </cell>
          <cell r="EE221">
            <v>1.1000000000000001</v>
          </cell>
          <cell r="EF221">
            <v>1.2</v>
          </cell>
          <cell r="EG221">
            <v>1.3</v>
          </cell>
        </row>
        <row r="222">
          <cell r="A222" t="str">
            <v>02010078Students w/disabilities</v>
          </cell>
          <cell r="B222" t="str">
            <v>02010078D</v>
          </cell>
          <cell r="C222" t="str">
            <v>0201</v>
          </cell>
          <cell r="D222" t="str">
            <v>02010078</v>
          </cell>
          <cell r="E222" t="str">
            <v>New Bedford</v>
          </cell>
          <cell r="F222" t="str">
            <v>Hayden/McFadden</v>
          </cell>
          <cell r="G222" t="str">
            <v>ES</v>
          </cell>
          <cell r="H222" t="str">
            <v>New Bedford - Hayden/McFadden (02010078)</v>
          </cell>
          <cell r="I222" t="str">
            <v>Students w/disabilities</v>
          </cell>
          <cell r="J222" t="str">
            <v>02010078Students w/disabilities</v>
          </cell>
          <cell r="K222" t="str">
            <v>--</v>
          </cell>
          <cell r="L222">
            <v>45.3</v>
          </cell>
          <cell r="M222">
            <v>49.9</v>
          </cell>
          <cell r="N222">
            <v>47.7</v>
          </cell>
          <cell r="O222">
            <v>54.4</v>
          </cell>
          <cell r="P222">
            <v>40.6</v>
          </cell>
          <cell r="Q222">
            <v>59</v>
          </cell>
          <cell r="R222">
            <v>63.5</v>
          </cell>
          <cell r="S222">
            <v>68.099999999999994</v>
          </cell>
          <cell r="T222">
            <v>72.7</v>
          </cell>
          <cell r="U222">
            <v>48.2</v>
          </cell>
          <cell r="V222">
            <v>52.5</v>
          </cell>
          <cell r="W222">
            <v>45.9</v>
          </cell>
          <cell r="X222">
            <v>56.8</v>
          </cell>
          <cell r="Y222">
            <v>42.7</v>
          </cell>
          <cell r="Z222">
            <v>61.2</v>
          </cell>
          <cell r="AA222">
            <v>65.5</v>
          </cell>
          <cell r="AB222">
            <v>69.8</v>
          </cell>
          <cell r="AC222">
            <v>74.099999999999994</v>
          </cell>
          <cell r="AD222">
            <v>55.4</v>
          </cell>
          <cell r="AE222">
            <v>59.1</v>
          </cell>
          <cell r="AF222">
            <v>45.8</v>
          </cell>
          <cell r="AG222">
            <v>62.8</v>
          </cell>
          <cell r="AH222">
            <v>45</v>
          </cell>
          <cell r="AI222">
            <v>66.599999999999994</v>
          </cell>
          <cell r="AJ222">
            <v>70.3</v>
          </cell>
          <cell r="AK222">
            <v>74</v>
          </cell>
          <cell r="AL222">
            <v>77.7</v>
          </cell>
          <cell r="AM222" t="str">
            <v>--</v>
          </cell>
          <cell r="AN222" t="str">
            <v>--</v>
          </cell>
          <cell r="AO222" t="str">
            <v>--</v>
          </cell>
          <cell r="AP222" t="str">
            <v>--</v>
          </cell>
          <cell r="AQ222" t="str">
            <v>--</v>
          </cell>
          <cell r="AR222" t="str">
            <v>--</v>
          </cell>
          <cell r="AS222" t="str">
            <v>--</v>
          </cell>
          <cell r="AT222" t="str">
            <v>--</v>
          </cell>
          <cell r="AU222" t="str">
            <v>--</v>
          </cell>
          <cell r="AV222" t="str">
            <v>--</v>
          </cell>
          <cell r="AW222" t="str">
            <v>--</v>
          </cell>
          <cell r="AX222" t="str">
            <v>--</v>
          </cell>
          <cell r="AY222" t="str">
            <v>--</v>
          </cell>
          <cell r="AZ222" t="str">
            <v>--</v>
          </cell>
          <cell r="BA222" t="str">
            <v>--</v>
          </cell>
          <cell r="BB222" t="str">
            <v>--</v>
          </cell>
          <cell r="BC222" t="str">
            <v>--</v>
          </cell>
          <cell r="BD222" t="str">
            <v>--</v>
          </cell>
          <cell r="BE222" t="str">
            <v>--</v>
          </cell>
          <cell r="BF222" t="str">
            <v>--</v>
          </cell>
          <cell r="BG222" t="str">
            <v>--</v>
          </cell>
          <cell r="BH222" t="str">
            <v>--</v>
          </cell>
          <cell r="BI222" t="str">
            <v>--</v>
          </cell>
          <cell r="BJ222" t="str">
            <v>--</v>
          </cell>
          <cell r="BK222" t="str">
            <v>--</v>
          </cell>
          <cell r="BL222" t="str">
            <v>--</v>
          </cell>
          <cell r="BM222" t="str">
            <v>--</v>
          </cell>
          <cell r="BN222">
            <v>34</v>
          </cell>
          <cell r="BO222">
            <v>44</v>
          </cell>
          <cell r="BP222">
            <v>28</v>
          </cell>
          <cell r="BQ222">
            <v>38</v>
          </cell>
          <cell r="BR222">
            <v>26.5</v>
          </cell>
          <cell r="BS222">
            <v>36.5</v>
          </cell>
          <cell r="BT222">
            <v>46.5</v>
          </cell>
          <cell r="BU222">
            <v>51</v>
          </cell>
          <cell r="BV222">
            <v>51</v>
          </cell>
          <cell r="BW222">
            <v>50</v>
          </cell>
          <cell r="BX222">
            <v>51</v>
          </cell>
          <cell r="BY222">
            <v>20</v>
          </cell>
          <cell r="BZ222">
            <v>30</v>
          </cell>
          <cell r="CA222">
            <v>41</v>
          </cell>
          <cell r="CB222">
            <v>51</v>
          </cell>
          <cell r="CC222">
            <v>51</v>
          </cell>
          <cell r="CD222">
            <v>51</v>
          </cell>
          <cell r="CE222">
            <v>51</v>
          </cell>
          <cell r="CF222">
            <v>57.6</v>
          </cell>
          <cell r="CG222">
            <v>51.8</v>
          </cell>
          <cell r="CH222">
            <v>55.8</v>
          </cell>
          <cell r="CI222">
            <v>50.2</v>
          </cell>
          <cell r="CJ222">
            <v>60.4</v>
          </cell>
          <cell r="CK222">
            <v>54.4</v>
          </cell>
          <cell r="CL222">
            <v>48.9</v>
          </cell>
          <cell r="CM222">
            <v>44</v>
          </cell>
          <cell r="CN222">
            <v>39.6</v>
          </cell>
          <cell r="CO222">
            <v>48.2</v>
          </cell>
          <cell r="CP222">
            <v>43.4</v>
          </cell>
          <cell r="CQ222">
            <v>54.7</v>
          </cell>
          <cell r="CR222">
            <v>49.2</v>
          </cell>
          <cell r="CS222">
            <v>57.3</v>
          </cell>
          <cell r="CT222">
            <v>51.6</v>
          </cell>
          <cell r="CU222">
            <v>46.4</v>
          </cell>
          <cell r="CV222">
            <v>41.8</v>
          </cell>
          <cell r="CW222">
            <v>37.6</v>
          </cell>
          <cell r="CX222">
            <v>43.5</v>
          </cell>
          <cell r="CY222">
            <v>39.200000000000003</v>
          </cell>
          <cell r="CZ222">
            <v>56.7</v>
          </cell>
          <cell r="DA222">
            <v>51</v>
          </cell>
          <cell r="DB222">
            <v>52</v>
          </cell>
          <cell r="DC222">
            <v>46.8</v>
          </cell>
          <cell r="DD222">
            <v>42.1</v>
          </cell>
          <cell r="DE222">
            <v>37.9</v>
          </cell>
          <cell r="DF222">
            <v>34.1</v>
          </cell>
          <cell r="DG222">
            <v>0</v>
          </cell>
          <cell r="DH222">
            <v>1</v>
          </cell>
          <cell r="DI222">
            <v>0</v>
          </cell>
          <cell r="DJ222">
            <v>1</v>
          </cell>
          <cell r="DK222">
            <v>0</v>
          </cell>
          <cell r="DL222">
            <v>1</v>
          </cell>
          <cell r="DM222">
            <v>1.1000000000000001</v>
          </cell>
          <cell r="DN222">
            <v>1.2</v>
          </cell>
          <cell r="DO222">
            <v>1.3</v>
          </cell>
          <cell r="DP222">
            <v>0</v>
          </cell>
          <cell r="DQ222">
            <v>1</v>
          </cell>
          <cell r="DR222">
            <v>1.2</v>
          </cell>
          <cell r="DS222">
            <v>1.3</v>
          </cell>
          <cell r="DT222">
            <v>0</v>
          </cell>
          <cell r="DU222">
            <v>1</v>
          </cell>
          <cell r="DV222">
            <v>1.1000000000000001</v>
          </cell>
          <cell r="DW222">
            <v>1.2</v>
          </cell>
          <cell r="DX222">
            <v>1.3</v>
          </cell>
          <cell r="DY222">
            <v>0</v>
          </cell>
          <cell r="DZ222">
            <v>1</v>
          </cell>
          <cell r="EA222">
            <v>0</v>
          </cell>
          <cell r="EB222">
            <v>1</v>
          </cell>
          <cell r="EC222">
            <v>0</v>
          </cell>
          <cell r="ED222">
            <v>1</v>
          </cell>
          <cell r="EE222">
            <v>1.1000000000000001</v>
          </cell>
          <cell r="EF222">
            <v>1.2</v>
          </cell>
          <cell r="EG222">
            <v>1.3</v>
          </cell>
        </row>
        <row r="223">
          <cell r="A223" t="str">
            <v>02010078Low income</v>
          </cell>
          <cell r="B223" t="str">
            <v>02010078F</v>
          </cell>
          <cell r="C223" t="str">
            <v>0201</v>
          </cell>
          <cell r="D223" t="str">
            <v>02010078</v>
          </cell>
          <cell r="E223" t="str">
            <v>New Bedford</v>
          </cell>
          <cell r="F223" t="str">
            <v>Hayden/McFadden</v>
          </cell>
          <cell r="G223" t="str">
            <v>ES</v>
          </cell>
          <cell r="H223" t="str">
            <v>New Bedford - Hayden/McFadden (02010078)</v>
          </cell>
          <cell r="I223" t="str">
            <v>Low income</v>
          </cell>
          <cell r="J223" t="str">
            <v>02010078Low income</v>
          </cell>
          <cell r="K223" t="str">
            <v>--</v>
          </cell>
          <cell r="L223">
            <v>58.8</v>
          </cell>
          <cell r="M223">
            <v>62.2</v>
          </cell>
          <cell r="N223">
            <v>59.2</v>
          </cell>
          <cell r="O223">
            <v>65.7</v>
          </cell>
          <cell r="P223">
            <v>53.2</v>
          </cell>
          <cell r="Q223">
            <v>69.099999999999994</v>
          </cell>
          <cell r="R223">
            <v>72.5</v>
          </cell>
          <cell r="S223">
            <v>76</v>
          </cell>
          <cell r="T223">
            <v>79.400000000000006</v>
          </cell>
          <cell r="U223">
            <v>60.7</v>
          </cell>
          <cell r="V223">
            <v>64</v>
          </cell>
          <cell r="W223">
            <v>52</v>
          </cell>
          <cell r="X223">
            <v>67.3</v>
          </cell>
          <cell r="Y223">
            <v>52</v>
          </cell>
          <cell r="Z223">
            <v>70.5</v>
          </cell>
          <cell r="AA223">
            <v>73.8</v>
          </cell>
          <cell r="AB223">
            <v>77.099999999999994</v>
          </cell>
          <cell r="AC223">
            <v>80.400000000000006</v>
          </cell>
          <cell r="AD223">
            <v>52.1</v>
          </cell>
          <cell r="AE223">
            <v>56.1</v>
          </cell>
          <cell r="AF223">
            <v>45.7</v>
          </cell>
          <cell r="AG223">
            <v>60.1</v>
          </cell>
          <cell r="AH223">
            <v>48</v>
          </cell>
          <cell r="AI223">
            <v>64.099999999999994</v>
          </cell>
          <cell r="AJ223">
            <v>68.099999999999994</v>
          </cell>
          <cell r="AK223">
            <v>72.099999999999994</v>
          </cell>
          <cell r="AL223">
            <v>76.099999999999994</v>
          </cell>
          <cell r="AM223" t="str">
            <v>--</v>
          </cell>
          <cell r="AN223" t="str">
            <v>--</v>
          </cell>
          <cell r="AO223" t="str">
            <v>--</v>
          </cell>
          <cell r="AP223" t="str">
            <v>--</v>
          </cell>
          <cell r="AQ223" t="str">
            <v>--</v>
          </cell>
          <cell r="AR223" t="str">
            <v>--</v>
          </cell>
          <cell r="AS223" t="str">
            <v>--</v>
          </cell>
          <cell r="AT223" t="str">
            <v>--</v>
          </cell>
          <cell r="AU223" t="str">
            <v>--</v>
          </cell>
          <cell r="AV223" t="str">
            <v>--</v>
          </cell>
          <cell r="AW223" t="str">
            <v>--</v>
          </cell>
          <cell r="AX223" t="str">
            <v>--</v>
          </cell>
          <cell r="AY223" t="str">
            <v>--</v>
          </cell>
          <cell r="AZ223" t="str">
            <v>--</v>
          </cell>
          <cell r="BA223" t="str">
            <v>--</v>
          </cell>
          <cell r="BB223" t="str">
            <v>--</v>
          </cell>
          <cell r="BC223" t="str">
            <v>--</v>
          </cell>
          <cell r="BD223" t="str">
            <v>--</v>
          </cell>
          <cell r="BE223" t="str">
            <v>--</v>
          </cell>
          <cell r="BF223" t="str">
            <v>--</v>
          </cell>
          <cell r="BG223" t="str">
            <v>--</v>
          </cell>
          <cell r="BH223" t="str">
            <v>--</v>
          </cell>
          <cell r="BI223" t="str">
            <v>--</v>
          </cell>
          <cell r="BJ223" t="str">
            <v>--</v>
          </cell>
          <cell r="BK223" t="str">
            <v>--</v>
          </cell>
          <cell r="BL223" t="str">
            <v>--</v>
          </cell>
          <cell r="BM223" t="str">
            <v>--</v>
          </cell>
          <cell r="BN223">
            <v>40.5</v>
          </cell>
          <cell r="BO223">
            <v>50.5</v>
          </cell>
          <cell r="BP223">
            <v>35.5</v>
          </cell>
          <cell r="BQ223">
            <v>45.5</v>
          </cell>
          <cell r="BR223">
            <v>31.5</v>
          </cell>
          <cell r="BS223">
            <v>41.5</v>
          </cell>
          <cell r="BT223">
            <v>51</v>
          </cell>
          <cell r="BU223">
            <v>51</v>
          </cell>
          <cell r="BV223">
            <v>51</v>
          </cell>
          <cell r="BW223">
            <v>49</v>
          </cell>
          <cell r="BX223">
            <v>51</v>
          </cell>
          <cell r="BY223">
            <v>25</v>
          </cell>
          <cell r="BZ223">
            <v>35</v>
          </cell>
          <cell r="CA223">
            <v>39</v>
          </cell>
          <cell r="CB223">
            <v>49</v>
          </cell>
          <cell r="CC223">
            <v>51</v>
          </cell>
          <cell r="CD223">
            <v>51</v>
          </cell>
          <cell r="CE223">
            <v>51</v>
          </cell>
          <cell r="CF223">
            <v>31.8</v>
          </cell>
          <cell r="CG223">
            <v>28.6</v>
          </cell>
          <cell r="CH223">
            <v>36.200000000000003</v>
          </cell>
          <cell r="CI223">
            <v>32.6</v>
          </cell>
          <cell r="CJ223">
            <v>34.5</v>
          </cell>
          <cell r="CK223">
            <v>31.1</v>
          </cell>
          <cell r="CL223">
            <v>27.9</v>
          </cell>
          <cell r="CM223">
            <v>25.2</v>
          </cell>
          <cell r="CN223">
            <v>22.6</v>
          </cell>
          <cell r="CO223">
            <v>28.9</v>
          </cell>
          <cell r="CP223">
            <v>26</v>
          </cell>
          <cell r="CQ223">
            <v>42.7</v>
          </cell>
          <cell r="CR223">
            <v>38.4</v>
          </cell>
          <cell r="CS223">
            <v>39.5</v>
          </cell>
          <cell r="CT223">
            <v>35.6</v>
          </cell>
          <cell r="CU223">
            <v>32</v>
          </cell>
          <cell r="CV223">
            <v>28.8</v>
          </cell>
          <cell r="CW223">
            <v>25.9</v>
          </cell>
          <cell r="CX223">
            <v>39.799999999999997</v>
          </cell>
          <cell r="CY223">
            <v>35.799999999999997</v>
          </cell>
          <cell r="CZ223">
            <v>53.1</v>
          </cell>
          <cell r="DA223">
            <v>47.8</v>
          </cell>
          <cell r="DB223">
            <v>48</v>
          </cell>
          <cell r="DC223">
            <v>43.2</v>
          </cell>
          <cell r="DD223">
            <v>38.9</v>
          </cell>
          <cell r="DE223">
            <v>35</v>
          </cell>
          <cell r="DF223">
            <v>31.5</v>
          </cell>
          <cell r="DG223">
            <v>1.7</v>
          </cell>
          <cell r="DH223">
            <v>1.9</v>
          </cell>
          <cell r="DI223">
            <v>1.8</v>
          </cell>
          <cell r="DJ223">
            <v>2</v>
          </cell>
          <cell r="DK223">
            <v>0</v>
          </cell>
          <cell r="DL223">
            <v>1</v>
          </cell>
          <cell r="DM223">
            <v>1.1000000000000001</v>
          </cell>
          <cell r="DN223">
            <v>1.2</v>
          </cell>
          <cell r="DO223">
            <v>1.3</v>
          </cell>
          <cell r="DP223">
            <v>2.1</v>
          </cell>
          <cell r="DQ223">
            <v>2.2999999999999998</v>
          </cell>
          <cell r="DR223">
            <v>2.7</v>
          </cell>
          <cell r="DS223">
            <v>3</v>
          </cell>
          <cell r="DT223">
            <v>1.7</v>
          </cell>
          <cell r="DU223">
            <v>1.9</v>
          </cell>
          <cell r="DV223">
            <v>2.1</v>
          </cell>
          <cell r="DW223">
            <v>2.2999999999999998</v>
          </cell>
          <cell r="DX223">
            <v>2.5</v>
          </cell>
          <cell r="DY223">
            <v>0</v>
          </cell>
          <cell r="DZ223">
            <v>1</v>
          </cell>
          <cell r="EA223">
            <v>0</v>
          </cell>
          <cell r="EB223">
            <v>1</v>
          </cell>
          <cell r="EC223">
            <v>0</v>
          </cell>
          <cell r="ED223">
            <v>1</v>
          </cell>
          <cell r="EE223">
            <v>1.1000000000000001</v>
          </cell>
          <cell r="EF223">
            <v>1.2</v>
          </cell>
          <cell r="EG223">
            <v>1.3</v>
          </cell>
        </row>
        <row r="224">
          <cell r="A224" t="str">
            <v>02010078Hispanic/Latino</v>
          </cell>
          <cell r="B224" t="str">
            <v>02010078H</v>
          </cell>
          <cell r="C224" t="str">
            <v>0201</v>
          </cell>
          <cell r="D224" t="str">
            <v>02010078</v>
          </cell>
          <cell r="E224" t="str">
            <v>New Bedford</v>
          </cell>
          <cell r="F224" t="str">
            <v>Hayden/McFadden</v>
          </cell>
          <cell r="G224" t="str">
            <v>ES</v>
          </cell>
          <cell r="H224" t="str">
            <v>New Bedford - Hayden/McFadden (02010078)</v>
          </cell>
          <cell r="I224" t="str">
            <v>Hispanic/Latino</v>
          </cell>
          <cell r="J224" t="str">
            <v>02010078Hispanic/Latino</v>
          </cell>
          <cell r="K224" t="str">
            <v>--</v>
          </cell>
          <cell r="L224">
            <v>56.1</v>
          </cell>
          <cell r="M224">
            <v>59.8</v>
          </cell>
          <cell r="N224">
            <v>59</v>
          </cell>
          <cell r="O224">
            <v>63.4</v>
          </cell>
          <cell r="P224">
            <v>50.7</v>
          </cell>
          <cell r="Q224">
            <v>67.099999999999994</v>
          </cell>
          <cell r="R224">
            <v>70.7</v>
          </cell>
          <cell r="S224">
            <v>74.400000000000006</v>
          </cell>
          <cell r="T224">
            <v>78.099999999999994</v>
          </cell>
          <cell r="U224">
            <v>59.9</v>
          </cell>
          <cell r="V224">
            <v>63.2</v>
          </cell>
          <cell r="W224">
            <v>54.2</v>
          </cell>
          <cell r="X224">
            <v>66.599999999999994</v>
          </cell>
          <cell r="Y224">
            <v>54.8</v>
          </cell>
          <cell r="Z224">
            <v>69.900000000000006</v>
          </cell>
          <cell r="AA224">
            <v>73.3</v>
          </cell>
          <cell r="AB224">
            <v>76.599999999999994</v>
          </cell>
          <cell r="AC224">
            <v>80</v>
          </cell>
          <cell r="AD224">
            <v>46.8</v>
          </cell>
          <cell r="AE224">
            <v>51.2</v>
          </cell>
          <cell r="AF224">
            <v>50</v>
          </cell>
          <cell r="AG224">
            <v>55.7</v>
          </cell>
          <cell r="AH224">
            <v>45</v>
          </cell>
          <cell r="AI224">
            <v>60.1</v>
          </cell>
          <cell r="AJ224">
            <v>64.5</v>
          </cell>
          <cell r="AK224">
            <v>69</v>
          </cell>
          <cell r="AL224">
            <v>73.400000000000006</v>
          </cell>
          <cell r="AM224" t="str">
            <v>--</v>
          </cell>
          <cell r="AN224" t="str">
            <v>--</v>
          </cell>
          <cell r="AO224" t="str">
            <v>--</v>
          </cell>
          <cell r="AP224" t="str">
            <v>--</v>
          </cell>
          <cell r="AQ224" t="str">
            <v>--</v>
          </cell>
          <cell r="AR224" t="str">
            <v>--</v>
          </cell>
          <cell r="AS224" t="str">
            <v>--</v>
          </cell>
          <cell r="AT224" t="str">
            <v>--</v>
          </cell>
          <cell r="AU224" t="str">
            <v>--</v>
          </cell>
          <cell r="AV224" t="str">
            <v>--</v>
          </cell>
          <cell r="AW224" t="str">
            <v>--</v>
          </cell>
          <cell r="AX224" t="str">
            <v>--</v>
          </cell>
          <cell r="AY224" t="str">
            <v>--</v>
          </cell>
          <cell r="AZ224" t="str">
            <v>--</v>
          </cell>
          <cell r="BA224" t="str">
            <v>--</v>
          </cell>
          <cell r="BB224" t="str">
            <v>--</v>
          </cell>
          <cell r="BC224" t="str">
            <v>--</v>
          </cell>
          <cell r="BD224" t="str">
            <v>--</v>
          </cell>
          <cell r="BE224" t="str">
            <v>--</v>
          </cell>
          <cell r="BF224" t="str">
            <v>--</v>
          </cell>
          <cell r="BG224" t="str">
            <v>--</v>
          </cell>
          <cell r="BH224" t="str">
            <v>--</v>
          </cell>
          <cell r="BI224" t="str">
            <v>--</v>
          </cell>
          <cell r="BJ224" t="str">
            <v>--</v>
          </cell>
          <cell r="BK224" t="str">
            <v>--</v>
          </cell>
          <cell r="BL224" t="str">
            <v>--</v>
          </cell>
          <cell r="BM224" t="str">
            <v>--</v>
          </cell>
          <cell r="BN224">
            <v>38</v>
          </cell>
          <cell r="BO224">
            <v>48</v>
          </cell>
          <cell r="BP224">
            <v>28</v>
          </cell>
          <cell r="BQ224">
            <v>38</v>
          </cell>
          <cell r="BR224">
            <v>37.5</v>
          </cell>
          <cell r="BS224">
            <v>47.5</v>
          </cell>
          <cell r="BT224">
            <v>51</v>
          </cell>
          <cell r="BU224">
            <v>51</v>
          </cell>
          <cell r="BV224">
            <v>51</v>
          </cell>
          <cell r="BW224">
            <v>37.5</v>
          </cell>
          <cell r="BX224">
            <v>47.5</v>
          </cell>
          <cell r="BY224">
            <v>29</v>
          </cell>
          <cell r="BZ224">
            <v>39</v>
          </cell>
          <cell r="CA224">
            <v>41</v>
          </cell>
          <cell r="CB224">
            <v>51</v>
          </cell>
          <cell r="CC224">
            <v>51</v>
          </cell>
          <cell r="CD224">
            <v>51</v>
          </cell>
          <cell r="CE224">
            <v>51</v>
          </cell>
          <cell r="CF224">
            <v>35.299999999999997</v>
          </cell>
          <cell r="CG224">
            <v>31.8</v>
          </cell>
          <cell r="CH224">
            <v>37.6</v>
          </cell>
          <cell r="CI224">
            <v>33.799999999999997</v>
          </cell>
          <cell r="CJ224">
            <v>37.5</v>
          </cell>
          <cell r="CK224">
            <v>33.799999999999997</v>
          </cell>
          <cell r="CL224">
            <v>30.4</v>
          </cell>
          <cell r="CM224">
            <v>27.3</v>
          </cell>
          <cell r="CN224">
            <v>24.6</v>
          </cell>
          <cell r="CO224">
            <v>28.6</v>
          </cell>
          <cell r="CP224">
            <v>25.7</v>
          </cell>
          <cell r="CQ224">
            <v>39.200000000000003</v>
          </cell>
          <cell r="CR224">
            <v>35.299999999999997</v>
          </cell>
          <cell r="CS224">
            <v>38.5</v>
          </cell>
          <cell r="CT224">
            <v>34.700000000000003</v>
          </cell>
          <cell r="CU224">
            <v>31.2</v>
          </cell>
          <cell r="CV224">
            <v>28.1</v>
          </cell>
          <cell r="CW224">
            <v>25.3</v>
          </cell>
          <cell r="CX224">
            <v>43.6</v>
          </cell>
          <cell r="CY224">
            <v>39.200000000000003</v>
          </cell>
          <cell r="CZ224">
            <v>52.2</v>
          </cell>
          <cell r="DA224">
            <v>47</v>
          </cell>
          <cell r="DB224">
            <v>60</v>
          </cell>
          <cell r="DC224">
            <v>54</v>
          </cell>
          <cell r="DD224">
            <v>48.6</v>
          </cell>
          <cell r="DE224">
            <v>43.7</v>
          </cell>
          <cell r="DF224">
            <v>39.4</v>
          </cell>
          <cell r="DG224">
            <v>2.5</v>
          </cell>
          <cell r="DH224">
            <v>2.8</v>
          </cell>
          <cell r="DI224">
            <v>0.8</v>
          </cell>
          <cell r="DJ224">
            <v>0.9</v>
          </cell>
          <cell r="DK224">
            <v>0</v>
          </cell>
          <cell r="DL224">
            <v>1</v>
          </cell>
          <cell r="DM224">
            <v>1.1000000000000001</v>
          </cell>
          <cell r="DN224">
            <v>1.2</v>
          </cell>
          <cell r="DO224">
            <v>1.3</v>
          </cell>
          <cell r="DP224">
            <v>0</v>
          </cell>
          <cell r="DQ224">
            <v>1</v>
          </cell>
          <cell r="DR224">
            <v>0.8</v>
          </cell>
          <cell r="DS224">
            <v>0.9</v>
          </cell>
          <cell r="DT224">
            <v>1.9</v>
          </cell>
          <cell r="DU224">
            <v>2.1</v>
          </cell>
          <cell r="DV224">
            <v>2.2999999999999998</v>
          </cell>
          <cell r="DW224">
            <v>2.5</v>
          </cell>
          <cell r="DX224">
            <v>2.8</v>
          </cell>
          <cell r="DY224">
            <v>0</v>
          </cell>
          <cell r="DZ224">
            <v>1</v>
          </cell>
          <cell r="EA224">
            <v>0</v>
          </cell>
          <cell r="EB224">
            <v>1</v>
          </cell>
          <cell r="EC224">
            <v>0</v>
          </cell>
          <cell r="ED224">
            <v>1</v>
          </cell>
          <cell r="EE224">
            <v>1.1000000000000001</v>
          </cell>
          <cell r="EF224">
            <v>1.2</v>
          </cell>
          <cell r="EG224">
            <v>1.3</v>
          </cell>
        </row>
        <row r="225">
          <cell r="A225" t="str">
            <v>02010078ELL and Former ELL</v>
          </cell>
          <cell r="B225" t="str">
            <v>02010078L</v>
          </cell>
          <cell r="C225" t="str">
            <v>0201</v>
          </cell>
          <cell r="D225" t="str">
            <v>02010078</v>
          </cell>
          <cell r="E225" t="str">
            <v>New Bedford</v>
          </cell>
          <cell r="F225" t="str">
            <v>Hayden/McFadden</v>
          </cell>
          <cell r="G225" t="str">
            <v>ES</v>
          </cell>
          <cell r="H225" t="str">
            <v>New Bedford - Hayden/McFadden (02010078)</v>
          </cell>
          <cell r="I225" t="str">
            <v>ELL and Former ELL</v>
          </cell>
          <cell r="J225" t="str">
            <v>02010078ELL and Former ELL</v>
          </cell>
          <cell r="K225" t="str">
            <v>--</v>
          </cell>
          <cell r="L225">
            <v>33.9</v>
          </cell>
          <cell r="M225">
            <v>39.4</v>
          </cell>
          <cell r="N225">
            <v>34.6</v>
          </cell>
          <cell r="O225">
            <v>44.9</v>
          </cell>
          <cell r="P225">
            <v>30</v>
          </cell>
          <cell r="Q225">
            <v>50.4</v>
          </cell>
          <cell r="R225">
            <v>55.9</v>
          </cell>
          <cell r="S225">
            <v>61.4</v>
          </cell>
          <cell r="T225">
            <v>67</v>
          </cell>
          <cell r="U225">
            <v>40.299999999999997</v>
          </cell>
          <cell r="V225">
            <v>45.3</v>
          </cell>
          <cell r="W225">
            <v>26.5</v>
          </cell>
          <cell r="X225">
            <v>50.3</v>
          </cell>
          <cell r="Y225">
            <v>35</v>
          </cell>
          <cell r="Z225">
            <v>55.2</v>
          </cell>
          <cell r="AA225">
            <v>60.2</v>
          </cell>
          <cell r="AB225">
            <v>65.2</v>
          </cell>
          <cell r="AC225">
            <v>70.2</v>
          </cell>
          <cell r="AD225">
            <v>24.1</v>
          </cell>
          <cell r="AE225">
            <v>30.4</v>
          </cell>
          <cell r="AF225">
            <v>29.5</v>
          </cell>
          <cell r="AG225">
            <v>36.799999999999997</v>
          </cell>
          <cell r="AH225">
            <v>27.1</v>
          </cell>
          <cell r="AI225">
            <v>43.1</v>
          </cell>
          <cell r="AJ225">
            <v>49.4</v>
          </cell>
          <cell r="AK225">
            <v>55.7</v>
          </cell>
          <cell r="AL225">
            <v>62.1</v>
          </cell>
          <cell r="AM225" t="str">
            <v>--</v>
          </cell>
          <cell r="AN225" t="str">
            <v>--</v>
          </cell>
          <cell r="AO225" t="str">
            <v>--</v>
          </cell>
          <cell r="AP225" t="str">
            <v>--</v>
          </cell>
          <cell r="AQ225" t="str">
            <v>--</v>
          </cell>
          <cell r="AR225" t="str">
            <v>--</v>
          </cell>
          <cell r="AS225" t="str">
            <v>--</v>
          </cell>
          <cell r="AT225" t="str">
            <v>--</v>
          </cell>
          <cell r="AU225" t="str">
            <v>--</v>
          </cell>
          <cell r="AV225" t="str">
            <v>--</v>
          </cell>
          <cell r="AW225" t="str">
            <v>--</v>
          </cell>
          <cell r="AX225" t="str">
            <v>--</v>
          </cell>
          <cell r="AY225" t="str">
            <v>--</v>
          </cell>
          <cell r="AZ225" t="str">
            <v>--</v>
          </cell>
          <cell r="BA225" t="str">
            <v>--</v>
          </cell>
          <cell r="BB225" t="str">
            <v>--</v>
          </cell>
          <cell r="BC225" t="str">
            <v>--</v>
          </cell>
          <cell r="BD225" t="str">
            <v>--</v>
          </cell>
          <cell r="BE225" t="str">
            <v>--</v>
          </cell>
          <cell r="BF225" t="str">
            <v>--</v>
          </cell>
          <cell r="BG225" t="str">
            <v>--</v>
          </cell>
          <cell r="BH225" t="str">
            <v>--</v>
          </cell>
          <cell r="BI225" t="str">
            <v>--</v>
          </cell>
          <cell r="BJ225" t="str">
            <v>--</v>
          </cell>
          <cell r="BK225" t="str">
            <v>--</v>
          </cell>
          <cell r="BL225" t="str">
            <v>--</v>
          </cell>
          <cell r="BM225" t="str">
            <v>--</v>
          </cell>
          <cell r="BN225" t="str">
            <v>--</v>
          </cell>
          <cell r="BO225" t="str">
            <v>--</v>
          </cell>
          <cell r="BP225" t="str">
            <v>--</v>
          </cell>
          <cell r="BQ225" t="str">
            <v>--</v>
          </cell>
          <cell r="BR225" t="str">
            <v>--</v>
          </cell>
          <cell r="BS225" t="str">
            <v>--</v>
          </cell>
          <cell r="BT225" t="str">
            <v>--</v>
          </cell>
          <cell r="BU225" t="str">
            <v>--</v>
          </cell>
          <cell r="BV225" t="str">
            <v>--</v>
          </cell>
          <cell r="BW225" t="str">
            <v>--</v>
          </cell>
          <cell r="BX225" t="str">
            <v>--</v>
          </cell>
          <cell r="BY225" t="str">
            <v>--</v>
          </cell>
          <cell r="BZ225" t="str">
            <v>--</v>
          </cell>
          <cell r="CA225" t="str">
            <v>--</v>
          </cell>
          <cell r="CB225" t="str">
            <v>--</v>
          </cell>
          <cell r="CC225" t="str">
            <v>--</v>
          </cell>
          <cell r="CD225" t="str">
            <v>--</v>
          </cell>
          <cell r="CE225" t="str">
            <v>--</v>
          </cell>
          <cell r="CF225">
            <v>64.5</v>
          </cell>
          <cell r="CG225">
            <v>58.1</v>
          </cell>
          <cell r="CH225">
            <v>73.5</v>
          </cell>
          <cell r="CI225">
            <v>66.2</v>
          </cell>
          <cell r="CJ225">
            <v>73.3</v>
          </cell>
          <cell r="CK225">
            <v>66</v>
          </cell>
          <cell r="CL225">
            <v>59.4</v>
          </cell>
          <cell r="CM225">
            <v>53.4</v>
          </cell>
          <cell r="CN225">
            <v>48.1</v>
          </cell>
          <cell r="CO225">
            <v>58.1</v>
          </cell>
          <cell r="CP225">
            <v>52.3</v>
          </cell>
          <cell r="CQ225">
            <v>78.8</v>
          </cell>
          <cell r="CR225">
            <v>70.900000000000006</v>
          </cell>
          <cell r="CS225">
            <v>70</v>
          </cell>
          <cell r="CT225">
            <v>63</v>
          </cell>
          <cell r="CU225">
            <v>56.7</v>
          </cell>
          <cell r="CV225">
            <v>51</v>
          </cell>
          <cell r="CW225">
            <v>45.9</v>
          </cell>
          <cell r="CX225">
            <v>75</v>
          </cell>
          <cell r="CY225">
            <v>74.5</v>
          </cell>
          <cell r="CZ225">
            <v>77.3</v>
          </cell>
          <cell r="DA225">
            <v>69.599999999999994</v>
          </cell>
          <cell r="DB225">
            <v>83.3</v>
          </cell>
          <cell r="DC225">
            <v>69.599999999999994</v>
          </cell>
          <cell r="DD225">
            <v>62.6</v>
          </cell>
          <cell r="DE225">
            <v>56.4</v>
          </cell>
          <cell r="DF225">
            <v>50.7</v>
          </cell>
          <cell r="DG225">
            <v>0</v>
          </cell>
          <cell r="DH225">
            <v>1</v>
          </cell>
          <cell r="DI225">
            <v>0</v>
          </cell>
          <cell r="DJ225">
            <v>1</v>
          </cell>
          <cell r="DK225">
            <v>0</v>
          </cell>
          <cell r="DL225">
            <v>1</v>
          </cell>
          <cell r="DM225">
            <v>1.1000000000000001</v>
          </cell>
          <cell r="DN225">
            <v>1.2</v>
          </cell>
          <cell r="DO225">
            <v>1.3</v>
          </cell>
          <cell r="DP225">
            <v>0</v>
          </cell>
          <cell r="DQ225">
            <v>1</v>
          </cell>
          <cell r="DR225">
            <v>3</v>
          </cell>
          <cell r="DS225">
            <v>3.3</v>
          </cell>
          <cell r="DT225">
            <v>0</v>
          </cell>
          <cell r="DU225">
            <v>1</v>
          </cell>
          <cell r="DV225">
            <v>1.1000000000000001</v>
          </cell>
          <cell r="DW225">
            <v>1.2</v>
          </cell>
          <cell r="DX225">
            <v>1.3</v>
          </cell>
          <cell r="DY225">
            <v>0</v>
          </cell>
          <cell r="DZ225">
            <v>1</v>
          </cell>
          <cell r="EA225">
            <v>0</v>
          </cell>
          <cell r="EB225">
            <v>1</v>
          </cell>
          <cell r="EC225">
            <v>0</v>
          </cell>
          <cell r="ED225">
            <v>1</v>
          </cell>
          <cell r="EE225">
            <v>1.1000000000000001</v>
          </cell>
          <cell r="EF225">
            <v>1.2</v>
          </cell>
          <cell r="EG225">
            <v>1.3</v>
          </cell>
        </row>
        <row r="226">
          <cell r="A226" t="str">
            <v>02010078Multi-race, Non-Hisp./Lat.</v>
          </cell>
          <cell r="B226" t="str">
            <v>02010078M</v>
          </cell>
          <cell r="C226" t="str">
            <v>0201</v>
          </cell>
          <cell r="D226" t="str">
            <v>02010078</v>
          </cell>
          <cell r="E226" t="str">
            <v>New Bedford</v>
          </cell>
          <cell r="F226" t="str">
            <v>Hayden/McFadden</v>
          </cell>
          <cell r="G226" t="str">
            <v>ES</v>
          </cell>
          <cell r="H226" t="str">
            <v>New Bedford - Hayden/McFadden (02010078)</v>
          </cell>
          <cell r="I226" t="str">
            <v>Multi-race, Non-Hisp./Lat.</v>
          </cell>
          <cell r="J226" t="str">
            <v>02010078Multi-race, Non-Hisp./Lat.</v>
          </cell>
          <cell r="K226" t="str">
            <v>Level 4</v>
          </cell>
          <cell r="L226" t="str">
            <v>--</v>
          </cell>
          <cell r="M226" t="str">
            <v>--</v>
          </cell>
          <cell r="N226" t="str">
            <v>--</v>
          </cell>
          <cell r="O226" t="str">
            <v>--</v>
          </cell>
          <cell r="P226" t="str">
            <v>--</v>
          </cell>
          <cell r="Q226" t="str">
            <v>--</v>
          </cell>
          <cell r="R226" t="str">
            <v>--</v>
          </cell>
          <cell r="S226" t="str">
            <v>--</v>
          </cell>
          <cell r="T226" t="str">
            <v>--</v>
          </cell>
          <cell r="U226" t="str">
            <v>--</v>
          </cell>
          <cell r="V226" t="str">
            <v>--</v>
          </cell>
          <cell r="W226" t="str">
            <v>--</v>
          </cell>
          <cell r="X226" t="str">
            <v>--</v>
          </cell>
          <cell r="Y226" t="str">
            <v>--</v>
          </cell>
          <cell r="Z226" t="str">
            <v>--</v>
          </cell>
          <cell r="AA226" t="str">
            <v>--</v>
          </cell>
          <cell r="AB226" t="str">
            <v>--</v>
          </cell>
          <cell r="AC226" t="str">
            <v>--</v>
          </cell>
          <cell r="AD226" t="str">
            <v>--</v>
          </cell>
          <cell r="AE226" t="str">
            <v>--</v>
          </cell>
          <cell r="AF226" t="str">
            <v>--</v>
          </cell>
          <cell r="AG226" t="str">
            <v>--</v>
          </cell>
          <cell r="AH226" t="str">
            <v>--</v>
          </cell>
          <cell r="AI226" t="str">
            <v>--</v>
          </cell>
          <cell r="AJ226" t="str">
            <v>--</v>
          </cell>
          <cell r="AK226" t="str">
            <v>--</v>
          </cell>
          <cell r="AL226" t="str">
            <v>--</v>
          </cell>
          <cell r="AM226" t="str">
            <v>--</v>
          </cell>
          <cell r="AN226" t="str">
            <v>--</v>
          </cell>
          <cell r="AO226" t="str">
            <v>--</v>
          </cell>
          <cell r="AP226" t="str">
            <v>--</v>
          </cell>
          <cell r="AQ226" t="str">
            <v>--</v>
          </cell>
          <cell r="AR226" t="str">
            <v>--</v>
          </cell>
          <cell r="AS226" t="str">
            <v>--</v>
          </cell>
          <cell r="AT226" t="str">
            <v>--</v>
          </cell>
          <cell r="AU226" t="str">
            <v>--</v>
          </cell>
          <cell r="AV226" t="str">
            <v>--</v>
          </cell>
          <cell r="AW226" t="str">
            <v>--</v>
          </cell>
          <cell r="AX226" t="str">
            <v>--</v>
          </cell>
          <cell r="AY226" t="str">
            <v>--</v>
          </cell>
          <cell r="AZ226" t="str">
            <v>--</v>
          </cell>
          <cell r="BA226" t="str">
            <v>--</v>
          </cell>
          <cell r="BB226" t="str">
            <v>--</v>
          </cell>
          <cell r="BC226" t="str">
            <v>--</v>
          </cell>
          <cell r="BD226" t="str">
            <v>--</v>
          </cell>
          <cell r="BE226" t="str">
            <v>--</v>
          </cell>
          <cell r="BF226" t="str">
            <v>--</v>
          </cell>
          <cell r="BG226" t="str">
            <v>--</v>
          </cell>
          <cell r="BH226" t="str">
            <v>--</v>
          </cell>
          <cell r="BI226" t="str">
            <v>--</v>
          </cell>
          <cell r="BJ226" t="str">
            <v>--</v>
          </cell>
          <cell r="BK226" t="str">
            <v>--</v>
          </cell>
          <cell r="BL226" t="str">
            <v>--</v>
          </cell>
          <cell r="BM226" t="str">
            <v>--</v>
          </cell>
          <cell r="BN226" t="str">
            <v>--</v>
          </cell>
          <cell r="BO226" t="str">
            <v>--</v>
          </cell>
          <cell r="BP226" t="str">
            <v>--</v>
          </cell>
          <cell r="BQ226" t="str">
            <v>--</v>
          </cell>
          <cell r="BR226" t="str">
            <v>--</v>
          </cell>
          <cell r="BS226" t="str">
            <v>--</v>
          </cell>
          <cell r="BT226" t="str">
            <v>--</v>
          </cell>
          <cell r="BU226" t="str">
            <v>--</v>
          </cell>
          <cell r="BV226" t="str">
            <v>--</v>
          </cell>
          <cell r="BW226" t="str">
            <v>--</v>
          </cell>
          <cell r="BX226" t="str">
            <v>--</v>
          </cell>
          <cell r="BY226" t="str">
            <v>--</v>
          </cell>
          <cell r="BZ226" t="str">
            <v>--</v>
          </cell>
          <cell r="CA226" t="str">
            <v>--</v>
          </cell>
          <cell r="CB226" t="str">
            <v>--</v>
          </cell>
          <cell r="CC226" t="str">
            <v>--</v>
          </cell>
          <cell r="CD226" t="str">
            <v>--</v>
          </cell>
          <cell r="CE226" t="str">
            <v>--</v>
          </cell>
          <cell r="CF226" t="str">
            <v>--</v>
          </cell>
          <cell r="CG226" t="str">
            <v>--</v>
          </cell>
          <cell r="CH226" t="str">
            <v>--</v>
          </cell>
          <cell r="CI226" t="str">
            <v>--</v>
          </cell>
          <cell r="CJ226" t="str">
            <v>--</v>
          </cell>
          <cell r="CK226" t="str">
            <v>--</v>
          </cell>
          <cell r="CL226" t="str">
            <v>--</v>
          </cell>
          <cell r="CM226" t="str">
            <v>--</v>
          </cell>
          <cell r="CN226" t="str">
            <v>--</v>
          </cell>
          <cell r="CO226" t="str">
            <v>--</v>
          </cell>
          <cell r="CP226" t="str">
            <v>--</v>
          </cell>
          <cell r="CQ226" t="str">
            <v>--</v>
          </cell>
          <cell r="CR226" t="str">
            <v>--</v>
          </cell>
          <cell r="CS226" t="str">
            <v>--</v>
          </cell>
          <cell r="CT226" t="str">
            <v>--</v>
          </cell>
          <cell r="CU226" t="str">
            <v>--</v>
          </cell>
          <cell r="CV226" t="str">
            <v>--</v>
          </cell>
          <cell r="CW226" t="str">
            <v>--</v>
          </cell>
          <cell r="CX226" t="str">
            <v>--</v>
          </cell>
          <cell r="CY226" t="str">
            <v>--</v>
          </cell>
          <cell r="CZ226" t="str">
            <v>--</v>
          </cell>
          <cell r="DA226" t="str">
            <v>--</v>
          </cell>
          <cell r="DB226" t="str">
            <v>--</v>
          </cell>
          <cell r="DC226" t="str">
            <v>--</v>
          </cell>
          <cell r="DD226" t="str">
            <v>--</v>
          </cell>
          <cell r="DE226" t="str">
            <v>--</v>
          </cell>
          <cell r="DF226" t="str">
            <v>--</v>
          </cell>
          <cell r="DG226" t="str">
            <v>--</v>
          </cell>
          <cell r="DH226" t="str">
            <v>--</v>
          </cell>
          <cell r="DI226" t="str">
            <v>--</v>
          </cell>
          <cell r="DJ226" t="str">
            <v>--</v>
          </cell>
          <cell r="DK226" t="str">
            <v>--</v>
          </cell>
          <cell r="DL226" t="str">
            <v>--</v>
          </cell>
          <cell r="DM226" t="str">
            <v>--</v>
          </cell>
          <cell r="DN226" t="str">
            <v>--</v>
          </cell>
          <cell r="DO226" t="str">
            <v>--</v>
          </cell>
          <cell r="DP226" t="str">
            <v>--</v>
          </cell>
          <cell r="DQ226" t="str">
            <v>--</v>
          </cell>
          <cell r="DR226" t="str">
            <v>--</v>
          </cell>
          <cell r="DS226" t="str">
            <v>--</v>
          </cell>
          <cell r="DT226" t="str">
            <v>--</v>
          </cell>
          <cell r="DU226" t="str">
            <v>--</v>
          </cell>
          <cell r="DV226" t="str">
            <v>--</v>
          </cell>
          <cell r="DW226" t="str">
            <v>--</v>
          </cell>
          <cell r="DX226" t="str">
            <v>--</v>
          </cell>
          <cell r="DY226" t="str">
            <v>--</v>
          </cell>
          <cell r="DZ226" t="str">
            <v>--</v>
          </cell>
          <cell r="EA226" t="str">
            <v>--</v>
          </cell>
          <cell r="EB226" t="str">
            <v>--</v>
          </cell>
          <cell r="EC226" t="str">
            <v>--</v>
          </cell>
          <cell r="ED226" t="str">
            <v>--</v>
          </cell>
          <cell r="EE226" t="str">
            <v>--</v>
          </cell>
          <cell r="EF226" t="str">
            <v>--</v>
          </cell>
          <cell r="EG226" t="str">
            <v>--</v>
          </cell>
        </row>
        <row r="227">
          <cell r="A227" t="str">
            <v>02010078Amer. Ind. or Alaska Nat.</v>
          </cell>
          <cell r="B227" t="str">
            <v>02010078N</v>
          </cell>
          <cell r="C227" t="str">
            <v>0201</v>
          </cell>
          <cell r="D227" t="str">
            <v>02010078</v>
          </cell>
          <cell r="E227" t="str">
            <v>New Bedford</v>
          </cell>
          <cell r="F227" t="str">
            <v>Hayden/McFadden</v>
          </cell>
          <cell r="G227" t="str">
            <v>ES</v>
          </cell>
          <cell r="H227" t="str">
            <v>New Bedford - Hayden/McFadden (02010078)</v>
          </cell>
          <cell r="I227" t="str">
            <v>Amer. Ind. or Alaska Nat.</v>
          </cell>
          <cell r="J227" t="str">
            <v>02010078Amer. Ind. or Alaska Nat.</v>
          </cell>
          <cell r="K227" t="str">
            <v>--</v>
          </cell>
          <cell r="L227" t="str">
            <v>--</v>
          </cell>
          <cell r="M227" t="str">
            <v>--</v>
          </cell>
          <cell r="N227" t="str">
            <v>--</v>
          </cell>
          <cell r="O227" t="str">
            <v>--</v>
          </cell>
          <cell r="P227" t="str">
            <v>--</v>
          </cell>
          <cell r="Q227" t="str">
            <v>--</v>
          </cell>
          <cell r="R227" t="str">
            <v>--</v>
          </cell>
          <cell r="S227" t="str">
            <v>--</v>
          </cell>
          <cell r="T227" t="str">
            <v>--</v>
          </cell>
          <cell r="U227" t="str">
            <v>--</v>
          </cell>
          <cell r="V227" t="str">
            <v>--</v>
          </cell>
          <cell r="W227" t="str">
            <v>--</v>
          </cell>
          <cell r="X227" t="str">
            <v>--</v>
          </cell>
          <cell r="Y227" t="str">
            <v>--</v>
          </cell>
          <cell r="Z227" t="str">
            <v>--</v>
          </cell>
          <cell r="AA227" t="str">
            <v>--</v>
          </cell>
          <cell r="AB227" t="str">
            <v>--</v>
          </cell>
          <cell r="AC227" t="str">
            <v>--</v>
          </cell>
          <cell r="AD227" t="str">
            <v>--</v>
          </cell>
          <cell r="AE227" t="str">
            <v>--</v>
          </cell>
          <cell r="AF227" t="str">
            <v>--</v>
          </cell>
          <cell r="AG227" t="str">
            <v>--</v>
          </cell>
          <cell r="AH227" t="str">
            <v>--</v>
          </cell>
          <cell r="AI227" t="str">
            <v>--</v>
          </cell>
          <cell r="AJ227" t="str">
            <v>--</v>
          </cell>
          <cell r="AK227" t="str">
            <v>--</v>
          </cell>
          <cell r="AL227" t="str">
            <v>--</v>
          </cell>
          <cell r="AM227" t="str">
            <v>--</v>
          </cell>
          <cell r="AN227" t="str">
            <v>--</v>
          </cell>
          <cell r="AO227" t="str">
            <v>--</v>
          </cell>
          <cell r="AP227" t="str">
            <v>--</v>
          </cell>
          <cell r="AQ227" t="str">
            <v>--</v>
          </cell>
          <cell r="AR227" t="str">
            <v>--</v>
          </cell>
          <cell r="AS227" t="str">
            <v>--</v>
          </cell>
          <cell r="AT227" t="str">
            <v>--</v>
          </cell>
          <cell r="AU227" t="str">
            <v>--</v>
          </cell>
          <cell r="AV227" t="str">
            <v>--</v>
          </cell>
          <cell r="AW227" t="str">
            <v>--</v>
          </cell>
          <cell r="AX227" t="str">
            <v>--</v>
          </cell>
          <cell r="AY227" t="str">
            <v>--</v>
          </cell>
          <cell r="AZ227" t="str">
            <v>--</v>
          </cell>
          <cell r="BA227" t="str">
            <v>--</v>
          </cell>
          <cell r="BB227" t="str">
            <v>--</v>
          </cell>
          <cell r="BC227" t="str">
            <v>--</v>
          </cell>
          <cell r="BD227" t="str">
            <v>--</v>
          </cell>
          <cell r="BE227" t="str">
            <v>--</v>
          </cell>
          <cell r="BF227" t="str">
            <v>--</v>
          </cell>
          <cell r="BG227" t="str">
            <v>--</v>
          </cell>
          <cell r="BH227" t="str">
            <v>--</v>
          </cell>
          <cell r="BI227" t="str">
            <v>--</v>
          </cell>
          <cell r="BJ227" t="str">
            <v>--</v>
          </cell>
          <cell r="BK227" t="str">
            <v>--</v>
          </cell>
          <cell r="BL227" t="str">
            <v>--</v>
          </cell>
          <cell r="BM227" t="str">
            <v>--</v>
          </cell>
          <cell r="BN227" t="str">
            <v>--</v>
          </cell>
          <cell r="BO227" t="str">
            <v>--</v>
          </cell>
          <cell r="BP227" t="str">
            <v>--</v>
          </cell>
          <cell r="BQ227" t="str">
            <v>--</v>
          </cell>
          <cell r="BR227" t="str">
            <v>--</v>
          </cell>
          <cell r="BS227" t="str">
            <v>--</v>
          </cell>
          <cell r="BT227" t="str">
            <v>--</v>
          </cell>
          <cell r="BU227" t="str">
            <v>--</v>
          </cell>
          <cell r="BV227" t="str">
            <v>--</v>
          </cell>
          <cell r="BW227" t="str">
            <v>--</v>
          </cell>
          <cell r="BX227" t="str">
            <v>--</v>
          </cell>
          <cell r="BY227" t="str">
            <v>--</v>
          </cell>
          <cell r="BZ227" t="str">
            <v>--</v>
          </cell>
          <cell r="CA227" t="str">
            <v>--</v>
          </cell>
          <cell r="CB227" t="str">
            <v>--</v>
          </cell>
          <cell r="CC227" t="str">
            <v>--</v>
          </cell>
          <cell r="CD227" t="str">
            <v>--</v>
          </cell>
          <cell r="CE227" t="str">
            <v>--</v>
          </cell>
          <cell r="CF227" t="str">
            <v>--</v>
          </cell>
          <cell r="CG227" t="str">
            <v>--</v>
          </cell>
          <cell r="CH227" t="str">
            <v>--</v>
          </cell>
          <cell r="CI227" t="str">
            <v>--</v>
          </cell>
          <cell r="CJ227" t="str">
            <v>--</v>
          </cell>
          <cell r="CK227" t="str">
            <v>--</v>
          </cell>
          <cell r="CL227" t="str">
            <v>--</v>
          </cell>
          <cell r="CM227" t="str">
            <v>--</v>
          </cell>
          <cell r="CN227" t="str">
            <v>--</v>
          </cell>
          <cell r="CO227" t="str">
            <v>--</v>
          </cell>
          <cell r="CP227" t="str">
            <v>--</v>
          </cell>
          <cell r="CQ227" t="str">
            <v>--</v>
          </cell>
          <cell r="CR227" t="str">
            <v>--</v>
          </cell>
          <cell r="CS227" t="str">
            <v>--</v>
          </cell>
          <cell r="CT227" t="str">
            <v>--</v>
          </cell>
          <cell r="CU227" t="str">
            <v>--</v>
          </cell>
          <cell r="CV227" t="str">
            <v>--</v>
          </cell>
          <cell r="CW227" t="str">
            <v>--</v>
          </cell>
          <cell r="CX227" t="str">
            <v>--</v>
          </cell>
          <cell r="CY227" t="str">
            <v>--</v>
          </cell>
          <cell r="CZ227" t="str">
            <v>--</v>
          </cell>
          <cell r="DA227" t="str">
            <v>--</v>
          </cell>
          <cell r="DB227" t="str">
            <v>--</v>
          </cell>
          <cell r="DC227" t="str">
            <v>--</v>
          </cell>
          <cell r="DD227" t="str">
            <v>--</v>
          </cell>
          <cell r="DE227" t="str">
            <v>--</v>
          </cell>
          <cell r="DF227" t="str">
            <v>--</v>
          </cell>
          <cell r="DG227" t="str">
            <v>--</v>
          </cell>
          <cell r="DH227" t="str">
            <v>--</v>
          </cell>
          <cell r="DI227" t="str">
            <v>--</v>
          </cell>
          <cell r="DJ227" t="str">
            <v>--</v>
          </cell>
          <cell r="DK227" t="str">
            <v>--</v>
          </cell>
          <cell r="DL227" t="str">
            <v>--</v>
          </cell>
          <cell r="DM227" t="str">
            <v>--</v>
          </cell>
          <cell r="DN227" t="str">
            <v>--</v>
          </cell>
          <cell r="DO227" t="str">
            <v>--</v>
          </cell>
          <cell r="DP227" t="str">
            <v>--</v>
          </cell>
          <cell r="DQ227" t="str">
            <v>--</v>
          </cell>
          <cell r="DR227" t="str">
            <v>--</v>
          </cell>
          <cell r="DS227" t="str">
            <v>--</v>
          </cell>
          <cell r="DT227" t="str">
            <v>--</v>
          </cell>
          <cell r="DU227" t="str">
            <v>--</v>
          </cell>
          <cell r="DV227" t="str">
            <v>--</v>
          </cell>
          <cell r="DW227" t="str">
            <v>--</v>
          </cell>
          <cell r="DX227" t="str">
            <v>--</v>
          </cell>
          <cell r="DY227" t="str">
            <v>--</v>
          </cell>
          <cell r="DZ227" t="str">
            <v>--</v>
          </cell>
          <cell r="EA227" t="str">
            <v>--</v>
          </cell>
          <cell r="EB227" t="str">
            <v>--</v>
          </cell>
          <cell r="EC227" t="str">
            <v>--</v>
          </cell>
          <cell r="ED227" t="str">
            <v>--</v>
          </cell>
          <cell r="EE227" t="str">
            <v>--</v>
          </cell>
          <cell r="EF227" t="str">
            <v>--</v>
          </cell>
          <cell r="EG227" t="str">
            <v>--</v>
          </cell>
        </row>
        <row r="228">
          <cell r="A228" t="str">
            <v>02010078Nat. Haw. or Pacif. Isl.</v>
          </cell>
          <cell r="B228" t="str">
            <v>02010078P</v>
          </cell>
          <cell r="C228" t="str">
            <v>0201</v>
          </cell>
          <cell r="D228" t="str">
            <v>02010078</v>
          </cell>
          <cell r="E228" t="str">
            <v>New Bedford</v>
          </cell>
          <cell r="F228" t="str">
            <v>Hayden/McFadden</v>
          </cell>
          <cell r="G228" t="str">
            <v>ES</v>
          </cell>
          <cell r="H228" t="str">
            <v>New Bedford - Hayden/McFadden (02010078)</v>
          </cell>
          <cell r="I228" t="str">
            <v>Nat. Haw. or Pacif. Isl.</v>
          </cell>
          <cell r="J228" t="str">
            <v>02010078Nat. Haw. or Pacif. Isl.</v>
          </cell>
          <cell r="K228" t="str">
            <v>Level 4</v>
          </cell>
          <cell r="L228" t="str">
            <v>--</v>
          </cell>
          <cell r="M228" t="str">
            <v>--</v>
          </cell>
          <cell r="N228" t="str">
            <v>--</v>
          </cell>
          <cell r="O228" t="str">
            <v>--</v>
          </cell>
          <cell r="P228" t="str">
            <v>--</v>
          </cell>
          <cell r="Q228" t="str">
            <v>--</v>
          </cell>
          <cell r="R228" t="str">
            <v>--</v>
          </cell>
          <cell r="S228" t="str">
            <v>--</v>
          </cell>
          <cell r="T228" t="str">
            <v>--</v>
          </cell>
          <cell r="U228" t="str">
            <v>--</v>
          </cell>
          <cell r="V228" t="str">
            <v>--</v>
          </cell>
          <cell r="W228" t="str">
            <v>--</v>
          </cell>
          <cell r="X228" t="str">
            <v>--</v>
          </cell>
          <cell r="Y228" t="str">
            <v>--</v>
          </cell>
          <cell r="Z228" t="str">
            <v>--</v>
          </cell>
          <cell r="AA228" t="str">
            <v>--</v>
          </cell>
          <cell r="AB228" t="str">
            <v>--</v>
          </cell>
          <cell r="AC228" t="str">
            <v>--</v>
          </cell>
          <cell r="AD228" t="str">
            <v>--</v>
          </cell>
          <cell r="AE228" t="str">
            <v>--</v>
          </cell>
          <cell r="AF228" t="str">
            <v>--</v>
          </cell>
          <cell r="AG228" t="str">
            <v>--</v>
          </cell>
          <cell r="AH228" t="str">
            <v>--</v>
          </cell>
          <cell r="AI228" t="str">
            <v>--</v>
          </cell>
          <cell r="AJ228" t="str">
            <v>--</v>
          </cell>
          <cell r="AK228" t="str">
            <v>--</v>
          </cell>
          <cell r="AL228" t="str">
            <v>--</v>
          </cell>
          <cell r="AM228" t="str">
            <v>--</v>
          </cell>
          <cell r="AN228" t="str">
            <v>--</v>
          </cell>
          <cell r="AO228" t="str">
            <v>--</v>
          </cell>
          <cell r="AP228" t="str">
            <v>--</v>
          </cell>
          <cell r="AQ228" t="str">
            <v>--</v>
          </cell>
          <cell r="AR228" t="str">
            <v>--</v>
          </cell>
          <cell r="AS228" t="str">
            <v>--</v>
          </cell>
          <cell r="AT228" t="str">
            <v>--</v>
          </cell>
          <cell r="AU228" t="str">
            <v>--</v>
          </cell>
          <cell r="AV228" t="str">
            <v>--</v>
          </cell>
          <cell r="AW228" t="str">
            <v>--</v>
          </cell>
          <cell r="AX228" t="str">
            <v>--</v>
          </cell>
          <cell r="AY228" t="str">
            <v>--</v>
          </cell>
          <cell r="AZ228" t="str">
            <v>--</v>
          </cell>
          <cell r="BA228" t="str">
            <v>--</v>
          </cell>
          <cell r="BB228" t="str">
            <v>--</v>
          </cell>
          <cell r="BC228" t="str">
            <v>--</v>
          </cell>
          <cell r="BD228" t="str">
            <v>--</v>
          </cell>
          <cell r="BE228" t="str">
            <v>--</v>
          </cell>
          <cell r="BF228" t="str">
            <v>--</v>
          </cell>
          <cell r="BG228" t="str">
            <v>--</v>
          </cell>
          <cell r="BH228" t="str">
            <v>--</v>
          </cell>
          <cell r="BI228" t="str">
            <v>--</v>
          </cell>
          <cell r="BJ228" t="str">
            <v>--</v>
          </cell>
          <cell r="BK228" t="str">
            <v>--</v>
          </cell>
          <cell r="BL228" t="str">
            <v>--</v>
          </cell>
          <cell r="BM228" t="str">
            <v>--</v>
          </cell>
          <cell r="BN228" t="str">
            <v>--</v>
          </cell>
          <cell r="BO228" t="str">
            <v>--</v>
          </cell>
          <cell r="BP228" t="str">
            <v>--</v>
          </cell>
          <cell r="BQ228" t="str">
            <v>--</v>
          </cell>
          <cell r="BR228" t="str">
            <v>--</v>
          </cell>
          <cell r="BS228" t="str">
            <v>--</v>
          </cell>
          <cell r="BT228" t="str">
            <v>--</v>
          </cell>
          <cell r="BU228" t="str">
            <v>--</v>
          </cell>
          <cell r="BV228" t="str">
            <v>--</v>
          </cell>
          <cell r="BW228" t="str">
            <v>--</v>
          </cell>
          <cell r="BX228" t="str">
            <v>--</v>
          </cell>
          <cell r="BY228" t="str">
            <v>--</v>
          </cell>
          <cell r="BZ228" t="str">
            <v>--</v>
          </cell>
          <cell r="CA228" t="str">
            <v>--</v>
          </cell>
          <cell r="CB228" t="str">
            <v>--</v>
          </cell>
          <cell r="CC228" t="str">
            <v>--</v>
          </cell>
          <cell r="CD228" t="str">
            <v>--</v>
          </cell>
          <cell r="CE228" t="str">
            <v>--</v>
          </cell>
          <cell r="CF228" t="str">
            <v>--</v>
          </cell>
          <cell r="CG228" t="str">
            <v>--</v>
          </cell>
          <cell r="CH228" t="str">
            <v>--</v>
          </cell>
          <cell r="CI228" t="str">
            <v>--</v>
          </cell>
          <cell r="CJ228" t="str">
            <v>--</v>
          </cell>
          <cell r="CK228" t="str">
            <v>--</v>
          </cell>
          <cell r="CL228" t="str">
            <v>--</v>
          </cell>
          <cell r="CM228" t="str">
            <v>--</v>
          </cell>
          <cell r="CN228" t="str">
            <v>--</v>
          </cell>
          <cell r="CO228" t="str">
            <v>--</v>
          </cell>
          <cell r="CP228" t="str">
            <v>--</v>
          </cell>
          <cell r="CQ228" t="str">
            <v>--</v>
          </cell>
          <cell r="CR228" t="str">
            <v>--</v>
          </cell>
          <cell r="CS228" t="str">
            <v>--</v>
          </cell>
          <cell r="CT228" t="str">
            <v>--</v>
          </cell>
          <cell r="CU228" t="str">
            <v>--</v>
          </cell>
          <cell r="CV228" t="str">
            <v>--</v>
          </cell>
          <cell r="CW228" t="str">
            <v>--</v>
          </cell>
          <cell r="CX228" t="str">
            <v>--</v>
          </cell>
          <cell r="CY228" t="str">
            <v>--</v>
          </cell>
          <cell r="CZ228" t="str">
            <v>--</v>
          </cell>
          <cell r="DA228" t="str">
            <v>--</v>
          </cell>
          <cell r="DB228" t="str">
            <v>--</v>
          </cell>
          <cell r="DC228" t="str">
            <v>--</v>
          </cell>
          <cell r="DD228" t="str">
            <v>--</v>
          </cell>
          <cell r="DE228" t="str">
            <v>--</v>
          </cell>
          <cell r="DF228" t="str">
            <v>--</v>
          </cell>
          <cell r="DG228" t="str">
            <v>--</v>
          </cell>
          <cell r="DH228" t="str">
            <v>--</v>
          </cell>
          <cell r="DI228" t="str">
            <v>--</v>
          </cell>
          <cell r="DJ228" t="str">
            <v>--</v>
          </cell>
          <cell r="DK228" t="str">
            <v>--</v>
          </cell>
          <cell r="DL228" t="str">
            <v>--</v>
          </cell>
          <cell r="DM228" t="str">
            <v>--</v>
          </cell>
          <cell r="DN228" t="str">
            <v>--</v>
          </cell>
          <cell r="DO228" t="str">
            <v>--</v>
          </cell>
          <cell r="DP228" t="str">
            <v>--</v>
          </cell>
          <cell r="DQ228" t="str">
            <v>--</v>
          </cell>
          <cell r="DR228" t="str">
            <v>--</v>
          </cell>
          <cell r="DS228" t="str">
            <v>--</v>
          </cell>
          <cell r="DT228" t="str">
            <v>--</v>
          </cell>
          <cell r="DU228" t="str">
            <v>--</v>
          </cell>
          <cell r="DV228" t="str">
            <v>--</v>
          </cell>
          <cell r="DW228" t="str">
            <v>--</v>
          </cell>
          <cell r="DX228" t="str">
            <v>--</v>
          </cell>
          <cell r="DY228" t="str">
            <v>--</v>
          </cell>
          <cell r="DZ228" t="str">
            <v>--</v>
          </cell>
          <cell r="EA228" t="str">
            <v>--</v>
          </cell>
          <cell r="EB228" t="str">
            <v>--</v>
          </cell>
          <cell r="EC228" t="str">
            <v>--</v>
          </cell>
          <cell r="ED228" t="str">
            <v>--</v>
          </cell>
          <cell r="EE228" t="str">
            <v>--</v>
          </cell>
          <cell r="EF228" t="str">
            <v>--</v>
          </cell>
          <cell r="EG228" t="str">
            <v>--</v>
          </cell>
        </row>
        <row r="229">
          <cell r="A229" t="str">
            <v>02010078High needs</v>
          </cell>
          <cell r="B229" t="str">
            <v>02010078S</v>
          </cell>
          <cell r="C229" t="str">
            <v>0201</v>
          </cell>
          <cell r="D229" t="str">
            <v>02010078</v>
          </cell>
          <cell r="E229" t="str">
            <v>New Bedford</v>
          </cell>
          <cell r="F229" t="str">
            <v>Hayden/McFadden</v>
          </cell>
          <cell r="G229" t="str">
            <v>ES</v>
          </cell>
          <cell r="H229" t="str">
            <v>New Bedford - Hayden/McFadden (02010078)</v>
          </cell>
          <cell r="I229" t="str">
            <v>High needs</v>
          </cell>
          <cell r="J229" t="str">
            <v>02010078High needs</v>
          </cell>
          <cell r="K229" t="str">
            <v>Level 4</v>
          </cell>
          <cell r="L229">
            <v>58.7</v>
          </cell>
          <cell r="M229">
            <v>62.1</v>
          </cell>
          <cell r="N229">
            <v>59.1</v>
          </cell>
          <cell r="O229">
            <v>65.599999999999994</v>
          </cell>
          <cell r="P229">
            <v>52.9</v>
          </cell>
          <cell r="Q229">
            <v>69</v>
          </cell>
          <cell r="R229">
            <v>72.5</v>
          </cell>
          <cell r="S229">
            <v>75.900000000000006</v>
          </cell>
          <cell r="T229">
            <v>79.400000000000006</v>
          </cell>
          <cell r="U229">
            <v>60.4</v>
          </cell>
          <cell r="V229">
            <v>63.7</v>
          </cell>
          <cell r="W229">
            <v>52.1</v>
          </cell>
          <cell r="X229">
            <v>67</v>
          </cell>
          <cell r="Y229">
            <v>51.7</v>
          </cell>
          <cell r="Z229">
            <v>70.3</v>
          </cell>
          <cell r="AA229">
            <v>73.599999999999994</v>
          </cell>
          <cell r="AB229">
            <v>76.900000000000006</v>
          </cell>
          <cell r="AC229">
            <v>80.2</v>
          </cell>
          <cell r="AD229">
            <v>52.1</v>
          </cell>
          <cell r="AE229">
            <v>56.1</v>
          </cell>
          <cell r="AF229">
            <v>46.7</v>
          </cell>
          <cell r="AG229">
            <v>60.1</v>
          </cell>
          <cell r="AH229">
            <v>48.1</v>
          </cell>
          <cell r="AI229">
            <v>64.099999999999994</v>
          </cell>
          <cell r="AJ229">
            <v>68.099999999999994</v>
          </cell>
          <cell r="AK229">
            <v>72.099999999999994</v>
          </cell>
          <cell r="AL229">
            <v>76.099999999999994</v>
          </cell>
          <cell r="AM229" t="str">
            <v>--</v>
          </cell>
          <cell r="AN229" t="str">
            <v>--</v>
          </cell>
          <cell r="AO229" t="str">
            <v>--</v>
          </cell>
          <cell r="AP229" t="str">
            <v>--</v>
          </cell>
          <cell r="AQ229" t="str">
            <v>--</v>
          </cell>
          <cell r="AR229" t="str">
            <v>--</v>
          </cell>
          <cell r="AS229" t="str">
            <v>--</v>
          </cell>
          <cell r="AT229" t="str">
            <v>--</v>
          </cell>
          <cell r="AU229" t="str">
            <v>--</v>
          </cell>
          <cell r="AV229" t="str">
            <v>--</v>
          </cell>
          <cell r="AW229" t="str">
            <v>--</v>
          </cell>
          <cell r="AX229" t="str">
            <v>--</v>
          </cell>
          <cell r="AY229" t="str">
            <v>--</v>
          </cell>
          <cell r="AZ229" t="str">
            <v>--</v>
          </cell>
          <cell r="BA229" t="str">
            <v>--</v>
          </cell>
          <cell r="BB229" t="str">
            <v>--</v>
          </cell>
          <cell r="BC229" t="str">
            <v>--</v>
          </cell>
          <cell r="BD229" t="str">
            <v>--</v>
          </cell>
          <cell r="BE229" t="str">
            <v>--</v>
          </cell>
          <cell r="BF229" t="str">
            <v>--</v>
          </cell>
          <cell r="BG229" t="str">
            <v>--</v>
          </cell>
          <cell r="BH229" t="str">
            <v>--</v>
          </cell>
          <cell r="BI229" t="str">
            <v>--</v>
          </cell>
          <cell r="BJ229" t="str">
            <v>--</v>
          </cell>
          <cell r="BK229" t="str">
            <v>--</v>
          </cell>
          <cell r="BL229" t="str">
            <v>--</v>
          </cell>
          <cell r="BM229" t="str">
            <v>--</v>
          </cell>
          <cell r="BN229">
            <v>41</v>
          </cell>
          <cell r="BO229">
            <v>51</v>
          </cell>
          <cell r="BP229">
            <v>34</v>
          </cell>
          <cell r="BQ229">
            <v>44</v>
          </cell>
          <cell r="BR229">
            <v>31</v>
          </cell>
          <cell r="BS229">
            <v>41</v>
          </cell>
          <cell r="BT229">
            <v>51</v>
          </cell>
          <cell r="BU229">
            <v>51</v>
          </cell>
          <cell r="BV229">
            <v>51</v>
          </cell>
          <cell r="BW229">
            <v>49</v>
          </cell>
          <cell r="BX229">
            <v>51</v>
          </cell>
          <cell r="BY229">
            <v>25</v>
          </cell>
          <cell r="BZ229">
            <v>35</v>
          </cell>
          <cell r="CA229">
            <v>38.5</v>
          </cell>
          <cell r="CB229">
            <v>48.5</v>
          </cell>
          <cell r="CC229">
            <v>51</v>
          </cell>
          <cell r="CD229">
            <v>51</v>
          </cell>
          <cell r="CE229">
            <v>51</v>
          </cell>
          <cell r="CF229">
            <v>32.200000000000003</v>
          </cell>
          <cell r="CG229">
            <v>29</v>
          </cell>
          <cell r="CH229">
            <v>36.200000000000003</v>
          </cell>
          <cell r="CI229">
            <v>32.6</v>
          </cell>
          <cell r="CJ229">
            <v>35.5</v>
          </cell>
          <cell r="CK229">
            <v>32</v>
          </cell>
          <cell r="CL229">
            <v>28.8</v>
          </cell>
          <cell r="CM229">
            <v>25.9</v>
          </cell>
          <cell r="CN229">
            <v>23.3</v>
          </cell>
          <cell r="CO229">
            <v>29.4</v>
          </cell>
          <cell r="CP229">
            <v>26.5</v>
          </cell>
          <cell r="CQ229">
            <v>42.5</v>
          </cell>
          <cell r="CR229">
            <v>38.299999999999997</v>
          </cell>
          <cell r="CS229">
            <v>40</v>
          </cell>
          <cell r="CT229">
            <v>36</v>
          </cell>
          <cell r="CU229">
            <v>32.4</v>
          </cell>
          <cell r="CV229">
            <v>29.2</v>
          </cell>
          <cell r="CW229">
            <v>26.2</v>
          </cell>
          <cell r="CX229">
            <v>39.799999999999997</v>
          </cell>
          <cell r="CY229">
            <v>35.799999999999997</v>
          </cell>
          <cell r="CZ229">
            <v>52.4</v>
          </cell>
          <cell r="DA229">
            <v>47.2</v>
          </cell>
          <cell r="DB229">
            <v>48.7</v>
          </cell>
          <cell r="DC229">
            <v>43.8</v>
          </cell>
          <cell r="DD229">
            <v>39.4</v>
          </cell>
          <cell r="DE229">
            <v>35.5</v>
          </cell>
          <cell r="DF229">
            <v>32</v>
          </cell>
          <cell r="DG229">
            <v>1.6</v>
          </cell>
          <cell r="DH229">
            <v>1.8</v>
          </cell>
          <cell r="DI229">
            <v>1.7</v>
          </cell>
          <cell r="DJ229">
            <v>1.9</v>
          </cell>
          <cell r="DK229">
            <v>0</v>
          </cell>
          <cell r="DL229">
            <v>1</v>
          </cell>
          <cell r="DM229">
            <v>1.1000000000000001</v>
          </cell>
          <cell r="DN229">
            <v>1.2</v>
          </cell>
          <cell r="DO229">
            <v>1.3</v>
          </cell>
          <cell r="DP229">
            <v>2</v>
          </cell>
          <cell r="DQ229">
            <v>2.2000000000000002</v>
          </cell>
          <cell r="DR229">
            <v>2.6</v>
          </cell>
          <cell r="DS229">
            <v>2.9</v>
          </cell>
          <cell r="DT229">
            <v>1.7</v>
          </cell>
          <cell r="DU229">
            <v>1.9</v>
          </cell>
          <cell r="DV229">
            <v>2.1</v>
          </cell>
          <cell r="DW229">
            <v>2.2999999999999998</v>
          </cell>
          <cell r="DX229">
            <v>2.5</v>
          </cell>
          <cell r="DY229">
            <v>0</v>
          </cell>
          <cell r="DZ229">
            <v>1</v>
          </cell>
          <cell r="EA229">
            <v>0</v>
          </cell>
          <cell r="EB229">
            <v>1</v>
          </cell>
          <cell r="EC229">
            <v>0</v>
          </cell>
          <cell r="ED229">
            <v>1</v>
          </cell>
          <cell r="EE229">
            <v>1.1000000000000001</v>
          </cell>
          <cell r="EF229">
            <v>1.2</v>
          </cell>
          <cell r="EG229">
            <v>1.3</v>
          </cell>
        </row>
        <row r="230">
          <cell r="A230" t="str">
            <v>02010078All students</v>
          </cell>
          <cell r="B230" t="str">
            <v>02010078T</v>
          </cell>
          <cell r="C230" t="str">
            <v>0201</v>
          </cell>
          <cell r="D230" t="str">
            <v>02010078</v>
          </cell>
          <cell r="E230" t="str">
            <v>New Bedford</v>
          </cell>
          <cell r="F230" t="str">
            <v>Hayden/McFadden</v>
          </cell>
          <cell r="G230" t="str">
            <v>ES</v>
          </cell>
          <cell r="H230" t="str">
            <v>New Bedford - Hayden/McFadden (02010078)</v>
          </cell>
          <cell r="I230" t="str">
            <v>All students</v>
          </cell>
          <cell r="J230" t="str">
            <v>02010078All students</v>
          </cell>
          <cell r="K230" t="str">
            <v>Level 4</v>
          </cell>
          <cell r="L230">
            <v>59.7</v>
          </cell>
          <cell r="M230">
            <v>63.1</v>
          </cell>
          <cell r="N230">
            <v>60</v>
          </cell>
          <cell r="O230">
            <v>66.400000000000006</v>
          </cell>
          <cell r="P230">
            <v>53.3</v>
          </cell>
          <cell r="Q230">
            <v>69.8</v>
          </cell>
          <cell r="R230">
            <v>73.099999999999994</v>
          </cell>
          <cell r="S230">
            <v>76.5</v>
          </cell>
          <cell r="T230">
            <v>79.900000000000006</v>
          </cell>
          <cell r="U230">
            <v>61.6</v>
          </cell>
          <cell r="V230">
            <v>64.8</v>
          </cell>
          <cell r="W230">
            <v>53</v>
          </cell>
          <cell r="X230">
            <v>68</v>
          </cell>
          <cell r="Y230">
            <v>52.1</v>
          </cell>
          <cell r="Z230">
            <v>71.2</v>
          </cell>
          <cell r="AA230">
            <v>74.400000000000006</v>
          </cell>
          <cell r="AB230">
            <v>77.599999999999994</v>
          </cell>
          <cell r="AC230">
            <v>80.8</v>
          </cell>
          <cell r="AD230">
            <v>52.3</v>
          </cell>
          <cell r="AE230">
            <v>56.3</v>
          </cell>
          <cell r="AF230">
            <v>47.7</v>
          </cell>
          <cell r="AG230">
            <v>60.3</v>
          </cell>
          <cell r="AH230">
            <v>48.7</v>
          </cell>
          <cell r="AI230">
            <v>64.2</v>
          </cell>
          <cell r="AJ230">
            <v>68.2</v>
          </cell>
          <cell r="AK230">
            <v>72.2</v>
          </cell>
          <cell r="AL230">
            <v>76.2</v>
          </cell>
          <cell r="AM230" t="str">
            <v>--</v>
          </cell>
          <cell r="AN230" t="str">
            <v>--</v>
          </cell>
          <cell r="AO230" t="str">
            <v>--</v>
          </cell>
          <cell r="AP230" t="str">
            <v>--</v>
          </cell>
          <cell r="AQ230" t="str">
            <v>--</v>
          </cell>
          <cell r="AR230" t="str">
            <v>--</v>
          </cell>
          <cell r="AS230" t="str">
            <v>--</v>
          </cell>
          <cell r="AT230" t="str">
            <v>--</v>
          </cell>
          <cell r="AU230" t="str">
            <v>--</v>
          </cell>
          <cell r="AV230" t="str">
            <v>--</v>
          </cell>
          <cell r="AW230" t="str">
            <v>--</v>
          </cell>
          <cell r="AX230" t="str">
            <v>--</v>
          </cell>
          <cell r="AY230" t="str">
            <v>--</v>
          </cell>
          <cell r="AZ230" t="str">
            <v>--</v>
          </cell>
          <cell r="BA230" t="str">
            <v>--</v>
          </cell>
          <cell r="BB230" t="str">
            <v>--</v>
          </cell>
          <cell r="BC230" t="str">
            <v>--</v>
          </cell>
          <cell r="BD230" t="str">
            <v>--</v>
          </cell>
          <cell r="BE230" t="str">
            <v>--</v>
          </cell>
          <cell r="BF230" t="str">
            <v>--</v>
          </cell>
          <cell r="BG230" t="str">
            <v>--</v>
          </cell>
          <cell r="BH230" t="str">
            <v>--</v>
          </cell>
          <cell r="BI230" t="str">
            <v>--</v>
          </cell>
          <cell r="BJ230" t="str">
            <v>--</v>
          </cell>
          <cell r="BK230" t="str">
            <v>--</v>
          </cell>
          <cell r="BL230" t="str">
            <v>--</v>
          </cell>
          <cell r="BM230" t="str">
            <v>--</v>
          </cell>
          <cell r="BN230">
            <v>40</v>
          </cell>
          <cell r="BO230">
            <v>50</v>
          </cell>
          <cell r="BP230">
            <v>35.5</v>
          </cell>
          <cell r="BQ230">
            <v>45.5</v>
          </cell>
          <cell r="BR230">
            <v>31.5</v>
          </cell>
          <cell r="BS230">
            <v>41.5</v>
          </cell>
          <cell r="BT230">
            <v>51</v>
          </cell>
          <cell r="BU230">
            <v>51</v>
          </cell>
          <cell r="BV230">
            <v>51</v>
          </cell>
          <cell r="BW230">
            <v>50</v>
          </cell>
          <cell r="BX230">
            <v>51</v>
          </cell>
          <cell r="BY230">
            <v>25</v>
          </cell>
          <cell r="BZ230">
            <v>35</v>
          </cell>
          <cell r="CA230">
            <v>38</v>
          </cell>
          <cell r="CB230">
            <v>48</v>
          </cell>
          <cell r="CC230">
            <v>51</v>
          </cell>
          <cell r="CD230">
            <v>51</v>
          </cell>
          <cell r="CE230">
            <v>51</v>
          </cell>
          <cell r="CF230">
            <v>31.3</v>
          </cell>
          <cell r="CG230">
            <v>28.2</v>
          </cell>
          <cell r="CH230">
            <v>35.299999999999997</v>
          </cell>
          <cell r="CI230">
            <v>31.8</v>
          </cell>
          <cell r="CJ230">
            <v>34.799999999999997</v>
          </cell>
          <cell r="CK230">
            <v>31.3</v>
          </cell>
          <cell r="CL230">
            <v>28.2</v>
          </cell>
          <cell r="CM230">
            <v>25.4</v>
          </cell>
          <cell r="CN230">
            <v>22.8</v>
          </cell>
          <cell r="CO230">
            <v>28.2</v>
          </cell>
          <cell r="CP230">
            <v>25.4</v>
          </cell>
          <cell r="CQ230">
            <v>41.7</v>
          </cell>
          <cell r="CR230">
            <v>37.5</v>
          </cell>
          <cell r="CS230">
            <v>39.200000000000003</v>
          </cell>
          <cell r="CT230">
            <v>35.299999999999997</v>
          </cell>
          <cell r="CU230">
            <v>31.8</v>
          </cell>
          <cell r="CV230">
            <v>28.6</v>
          </cell>
          <cell r="CW230">
            <v>25.7</v>
          </cell>
          <cell r="CX230">
            <v>39.5</v>
          </cell>
          <cell r="CY230">
            <v>35.6</v>
          </cell>
          <cell r="CZ230">
            <v>51.1</v>
          </cell>
          <cell r="DA230">
            <v>46</v>
          </cell>
          <cell r="DB230">
            <v>48.1</v>
          </cell>
          <cell r="DC230">
            <v>43.3</v>
          </cell>
          <cell r="DD230">
            <v>39</v>
          </cell>
          <cell r="DE230">
            <v>35.1</v>
          </cell>
          <cell r="DF230">
            <v>31.6</v>
          </cell>
          <cell r="DG230">
            <v>1.9</v>
          </cell>
          <cell r="DH230">
            <v>2.1</v>
          </cell>
          <cell r="DI230">
            <v>2.1</v>
          </cell>
          <cell r="DJ230">
            <v>2.2999999999999998</v>
          </cell>
          <cell r="DK230">
            <v>0</v>
          </cell>
          <cell r="DL230">
            <v>1</v>
          </cell>
          <cell r="DM230">
            <v>1.1000000000000001</v>
          </cell>
          <cell r="DN230">
            <v>1.2</v>
          </cell>
          <cell r="DO230">
            <v>1.3</v>
          </cell>
          <cell r="DP230">
            <v>1.9</v>
          </cell>
          <cell r="DQ230">
            <v>2.1</v>
          </cell>
          <cell r="DR230">
            <v>2.5</v>
          </cell>
          <cell r="DS230">
            <v>2.8</v>
          </cell>
          <cell r="DT230">
            <v>1.6</v>
          </cell>
          <cell r="DU230">
            <v>1.8</v>
          </cell>
          <cell r="DV230">
            <v>1.9</v>
          </cell>
          <cell r="DW230">
            <v>2.1</v>
          </cell>
          <cell r="DX230">
            <v>2.2999999999999998</v>
          </cell>
          <cell r="DY230">
            <v>0</v>
          </cell>
          <cell r="DZ230">
            <v>1</v>
          </cell>
          <cell r="EA230">
            <v>0</v>
          </cell>
          <cell r="EB230">
            <v>1</v>
          </cell>
          <cell r="EC230">
            <v>0</v>
          </cell>
          <cell r="ED230">
            <v>1</v>
          </cell>
          <cell r="EE230">
            <v>1.1000000000000001</v>
          </cell>
          <cell r="EF230">
            <v>1.2</v>
          </cell>
          <cell r="EG230">
            <v>1.3</v>
          </cell>
        </row>
        <row r="231">
          <cell r="A231" t="str">
            <v>02010115Asian</v>
          </cell>
          <cell r="B231" t="str">
            <v>02010115A</v>
          </cell>
          <cell r="C231" t="str">
            <v>0201</v>
          </cell>
          <cell r="D231" t="str">
            <v>02010115</v>
          </cell>
          <cell r="E231" t="str">
            <v>New Bedford</v>
          </cell>
          <cell r="F231" t="str">
            <v>John Avery Parker</v>
          </cell>
          <cell r="G231" t="str">
            <v>ES</v>
          </cell>
          <cell r="H231" t="str">
            <v>New Bedford - John Avery Parker (02010115)</v>
          </cell>
          <cell r="I231" t="str">
            <v>Asian</v>
          </cell>
          <cell r="J231" t="str">
            <v>02010115Asian</v>
          </cell>
          <cell r="K231" t="str">
            <v>Level 4</v>
          </cell>
          <cell r="L231" t="str">
            <v>--</v>
          </cell>
          <cell r="M231" t="str">
            <v>--</v>
          </cell>
          <cell r="N231" t="str">
            <v>--</v>
          </cell>
          <cell r="O231" t="str">
            <v>--</v>
          </cell>
          <cell r="P231" t="str">
            <v>--</v>
          </cell>
          <cell r="Q231" t="str">
            <v>--</v>
          </cell>
          <cell r="R231" t="str">
            <v>--</v>
          </cell>
          <cell r="S231" t="str">
            <v>--</v>
          </cell>
          <cell r="T231" t="str">
            <v>--</v>
          </cell>
          <cell r="U231" t="str">
            <v>--</v>
          </cell>
          <cell r="V231" t="str">
            <v>--</v>
          </cell>
          <cell r="W231" t="str">
            <v>--</v>
          </cell>
          <cell r="X231" t="str">
            <v>--</v>
          </cell>
          <cell r="Y231" t="str">
            <v>--</v>
          </cell>
          <cell r="Z231" t="str">
            <v>--</v>
          </cell>
          <cell r="AA231" t="str">
            <v>--</v>
          </cell>
          <cell r="AB231" t="str">
            <v>--</v>
          </cell>
          <cell r="AC231" t="str">
            <v>--</v>
          </cell>
          <cell r="AD231" t="str">
            <v>--</v>
          </cell>
          <cell r="AE231" t="str">
            <v>--</v>
          </cell>
          <cell r="AF231" t="str">
            <v>--</v>
          </cell>
          <cell r="AG231" t="str">
            <v>--</v>
          </cell>
          <cell r="AH231" t="str">
            <v>--</v>
          </cell>
          <cell r="AI231" t="str">
            <v>--</v>
          </cell>
          <cell r="AJ231" t="str">
            <v>--</v>
          </cell>
          <cell r="AK231" t="str">
            <v>--</v>
          </cell>
          <cell r="AL231" t="str">
            <v>--</v>
          </cell>
          <cell r="AM231" t="str">
            <v>--</v>
          </cell>
          <cell r="AN231" t="str">
            <v>--</v>
          </cell>
          <cell r="AO231" t="str">
            <v>--</v>
          </cell>
          <cell r="AP231" t="str">
            <v>--</v>
          </cell>
          <cell r="AQ231" t="str">
            <v>--</v>
          </cell>
          <cell r="AR231" t="str">
            <v>--</v>
          </cell>
          <cell r="AS231" t="str">
            <v>--</v>
          </cell>
          <cell r="AT231" t="str">
            <v>--</v>
          </cell>
          <cell r="AU231" t="str">
            <v>--</v>
          </cell>
          <cell r="AV231" t="str">
            <v>--</v>
          </cell>
          <cell r="AW231" t="str">
            <v>--</v>
          </cell>
          <cell r="AX231" t="str">
            <v>--</v>
          </cell>
          <cell r="AY231" t="str">
            <v>--</v>
          </cell>
          <cell r="AZ231" t="str">
            <v>--</v>
          </cell>
          <cell r="BA231" t="str">
            <v>--</v>
          </cell>
          <cell r="BB231" t="str">
            <v>--</v>
          </cell>
          <cell r="BC231" t="str">
            <v>--</v>
          </cell>
          <cell r="BD231" t="str">
            <v>--</v>
          </cell>
          <cell r="BE231" t="str">
            <v>--</v>
          </cell>
          <cell r="BF231" t="str">
            <v>--</v>
          </cell>
          <cell r="BG231" t="str">
            <v>--</v>
          </cell>
          <cell r="BH231" t="str">
            <v>--</v>
          </cell>
          <cell r="BI231" t="str">
            <v>--</v>
          </cell>
          <cell r="BJ231" t="str">
            <v>--</v>
          </cell>
          <cell r="BK231" t="str">
            <v>--</v>
          </cell>
          <cell r="BL231" t="str">
            <v>--</v>
          </cell>
          <cell r="BM231" t="str">
            <v>--</v>
          </cell>
          <cell r="BN231" t="str">
            <v>--</v>
          </cell>
          <cell r="BO231" t="str">
            <v>--</v>
          </cell>
          <cell r="BP231" t="str">
            <v>--</v>
          </cell>
          <cell r="BQ231" t="str">
            <v>--</v>
          </cell>
          <cell r="BR231" t="str">
            <v>--</v>
          </cell>
          <cell r="BS231" t="str">
            <v>--</v>
          </cell>
          <cell r="BT231" t="str">
            <v>--</v>
          </cell>
          <cell r="BU231" t="str">
            <v>--</v>
          </cell>
          <cell r="BV231" t="str">
            <v>--</v>
          </cell>
          <cell r="BW231" t="str">
            <v>--</v>
          </cell>
          <cell r="BX231" t="str">
            <v>--</v>
          </cell>
          <cell r="BY231" t="str">
            <v>--</v>
          </cell>
          <cell r="BZ231" t="str">
            <v>--</v>
          </cell>
          <cell r="CA231" t="str">
            <v>--</v>
          </cell>
          <cell r="CB231" t="str">
            <v>--</v>
          </cell>
          <cell r="CC231" t="str">
            <v>--</v>
          </cell>
          <cell r="CD231" t="str">
            <v>--</v>
          </cell>
          <cell r="CE231" t="str">
            <v>--</v>
          </cell>
          <cell r="CF231" t="str">
            <v>--</v>
          </cell>
          <cell r="CG231" t="str">
            <v>--</v>
          </cell>
          <cell r="CH231" t="str">
            <v>--</v>
          </cell>
          <cell r="CI231" t="str">
            <v>--</v>
          </cell>
          <cell r="CJ231" t="str">
            <v>--</v>
          </cell>
          <cell r="CK231" t="str">
            <v>--</v>
          </cell>
          <cell r="CL231" t="str">
            <v>--</v>
          </cell>
          <cell r="CM231" t="str">
            <v>--</v>
          </cell>
          <cell r="CN231" t="str">
            <v>--</v>
          </cell>
          <cell r="CO231" t="str">
            <v>--</v>
          </cell>
          <cell r="CP231" t="str">
            <v>--</v>
          </cell>
          <cell r="CQ231" t="str">
            <v>--</v>
          </cell>
          <cell r="CR231" t="str">
            <v>--</v>
          </cell>
          <cell r="CS231" t="str">
            <v>--</v>
          </cell>
          <cell r="CT231" t="str">
            <v>--</v>
          </cell>
          <cell r="CU231" t="str">
            <v>--</v>
          </cell>
          <cell r="CV231" t="str">
            <v>--</v>
          </cell>
          <cell r="CW231" t="str">
            <v>--</v>
          </cell>
          <cell r="CX231" t="str">
            <v>--</v>
          </cell>
          <cell r="CY231" t="str">
            <v>--</v>
          </cell>
          <cell r="CZ231" t="str">
            <v>--</v>
          </cell>
          <cell r="DA231" t="str">
            <v>--</v>
          </cell>
          <cell r="DB231" t="str">
            <v>--</v>
          </cell>
          <cell r="DC231" t="str">
            <v>--</v>
          </cell>
          <cell r="DD231" t="str">
            <v>--</v>
          </cell>
          <cell r="DE231" t="str">
            <v>--</v>
          </cell>
          <cell r="DF231" t="str">
            <v>--</v>
          </cell>
          <cell r="DG231" t="str">
            <v>--</v>
          </cell>
          <cell r="DH231" t="str">
            <v>--</v>
          </cell>
          <cell r="DI231" t="str">
            <v>--</v>
          </cell>
          <cell r="DJ231" t="str">
            <v>--</v>
          </cell>
          <cell r="DK231" t="str">
            <v>--</v>
          </cell>
          <cell r="DL231" t="str">
            <v>--</v>
          </cell>
          <cell r="DM231" t="str">
            <v>--</v>
          </cell>
          <cell r="DN231" t="str">
            <v>--</v>
          </cell>
          <cell r="DO231" t="str">
            <v>--</v>
          </cell>
          <cell r="DP231" t="str">
            <v>--</v>
          </cell>
          <cell r="DQ231" t="str">
            <v>--</v>
          </cell>
          <cell r="DR231" t="str">
            <v>--</v>
          </cell>
          <cell r="DS231" t="str">
            <v>--</v>
          </cell>
          <cell r="DT231" t="str">
            <v>--</v>
          </cell>
          <cell r="DU231" t="str">
            <v>--</v>
          </cell>
          <cell r="DV231" t="str">
            <v>--</v>
          </cell>
          <cell r="DW231" t="str">
            <v>--</v>
          </cell>
          <cell r="DX231" t="str">
            <v>--</v>
          </cell>
          <cell r="DY231" t="str">
            <v>--</v>
          </cell>
          <cell r="DZ231" t="str">
            <v>--</v>
          </cell>
          <cell r="EA231" t="str">
            <v>--</v>
          </cell>
          <cell r="EB231" t="str">
            <v>--</v>
          </cell>
          <cell r="EC231" t="str">
            <v>--</v>
          </cell>
          <cell r="ED231" t="str">
            <v>--</v>
          </cell>
          <cell r="EE231" t="str">
            <v>--</v>
          </cell>
          <cell r="EF231" t="str">
            <v>--</v>
          </cell>
          <cell r="EG231" t="str">
            <v>--</v>
          </cell>
        </row>
        <row r="232">
          <cell r="A232" t="str">
            <v>02010115Afr. Amer/Black</v>
          </cell>
          <cell r="B232" t="str">
            <v>02010115B</v>
          </cell>
          <cell r="C232" t="str">
            <v>0201</v>
          </cell>
          <cell r="D232" t="str">
            <v>02010115</v>
          </cell>
          <cell r="E232" t="str">
            <v>New Bedford</v>
          </cell>
          <cell r="F232" t="str">
            <v>John Avery Parker</v>
          </cell>
          <cell r="G232" t="str">
            <v>ES</v>
          </cell>
          <cell r="H232" t="str">
            <v>New Bedford - John Avery Parker (02010115)</v>
          </cell>
          <cell r="I232" t="str">
            <v>Afr. Amer/Black</v>
          </cell>
          <cell r="J232" t="str">
            <v>02010115Afr. Amer/Black</v>
          </cell>
          <cell r="K232" t="str">
            <v>Level 4</v>
          </cell>
          <cell r="L232">
            <v>63.1</v>
          </cell>
          <cell r="M232">
            <v>66.2</v>
          </cell>
          <cell r="N232">
            <v>57.9</v>
          </cell>
          <cell r="O232">
            <v>69.3</v>
          </cell>
          <cell r="P232">
            <v>75</v>
          </cell>
          <cell r="Q232">
            <v>72.3</v>
          </cell>
          <cell r="R232">
            <v>75.400000000000006</v>
          </cell>
          <cell r="S232">
            <v>78.5</v>
          </cell>
          <cell r="T232">
            <v>81.599999999999994</v>
          </cell>
          <cell r="U232">
            <v>66.7</v>
          </cell>
          <cell r="V232">
            <v>69.5</v>
          </cell>
          <cell r="W232">
            <v>56.6</v>
          </cell>
          <cell r="X232">
            <v>72.3</v>
          </cell>
          <cell r="Y232">
            <v>75</v>
          </cell>
          <cell r="Z232">
            <v>75</v>
          </cell>
          <cell r="AA232">
            <v>77.8</v>
          </cell>
          <cell r="AB232">
            <v>80.599999999999994</v>
          </cell>
          <cell r="AC232">
            <v>83.4</v>
          </cell>
          <cell r="AD232" t="str">
            <v>--</v>
          </cell>
          <cell r="AE232" t="str">
            <v>--</v>
          </cell>
          <cell r="AF232" t="str">
            <v>--</v>
          </cell>
          <cell r="AG232" t="str">
            <v>--</v>
          </cell>
          <cell r="AH232" t="str">
            <v>--</v>
          </cell>
          <cell r="AI232" t="str">
            <v>--</v>
          </cell>
          <cell r="AJ232" t="str">
            <v>--</v>
          </cell>
          <cell r="AK232" t="str">
            <v>--</v>
          </cell>
          <cell r="AL232" t="str">
            <v>--</v>
          </cell>
          <cell r="AM232" t="str">
            <v>--</v>
          </cell>
          <cell r="AN232" t="str">
            <v>--</v>
          </cell>
          <cell r="AO232" t="str">
            <v>--</v>
          </cell>
          <cell r="AP232" t="str">
            <v>--</v>
          </cell>
          <cell r="AQ232" t="str">
            <v>--</v>
          </cell>
          <cell r="AR232" t="str">
            <v>--</v>
          </cell>
          <cell r="AS232" t="str">
            <v>--</v>
          </cell>
          <cell r="AT232" t="str">
            <v>--</v>
          </cell>
          <cell r="AU232" t="str">
            <v>--</v>
          </cell>
          <cell r="AV232" t="str">
            <v>--</v>
          </cell>
          <cell r="AW232" t="str">
            <v>--</v>
          </cell>
          <cell r="AX232" t="str">
            <v>--</v>
          </cell>
          <cell r="AY232" t="str">
            <v>--</v>
          </cell>
          <cell r="AZ232" t="str">
            <v>--</v>
          </cell>
          <cell r="BA232" t="str">
            <v>--</v>
          </cell>
          <cell r="BB232" t="str">
            <v>--</v>
          </cell>
          <cell r="BC232" t="str">
            <v>--</v>
          </cell>
          <cell r="BD232" t="str">
            <v>--</v>
          </cell>
          <cell r="BE232" t="str">
            <v>--</v>
          </cell>
          <cell r="BF232" t="str">
            <v>--</v>
          </cell>
          <cell r="BG232" t="str">
            <v>--</v>
          </cell>
          <cell r="BH232" t="str">
            <v>--</v>
          </cell>
          <cell r="BI232" t="str">
            <v>--</v>
          </cell>
          <cell r="BJ232" t="str">
            <v>--</v>
          </cell>
          <cell r="BK232" t="str">
            <v>--</v>
          </cell>
          <cell r="BL232" t="str">
            <v>--</v>
          </cell>
          <cell r="BM232" t="str">
            <v>--</v>
          </cell>
          <cell r="BN232" t="str">
            <v>--</v>
          </cell>
          <cell r="BO232" t="str">
            <v>--</v>
          </cell>
          <cell r="BP232" t="str">
            <v>--</v>
          </cell>
          <cell r="BQ232" t="str">
            <v>--</v>
          </cell>
          <cell r="BR232" t="str">
            <v>--</v>
          </cell>
          <cell r="BS232" t="str">
            <v>--</v>
          </cell>
          <cell r="BT232" t="str">
            <v>--</v>
          </cell>
          <cell r="BU232" t="str">
            <v>--</v>
          </cell>
          <cell r="BV232" t="str">
            <v>--</v>
          </cell>
          <cell r="BW232" t="str">
            <v>--</v>
          </cell>
          <cell r="BX232" t="str">
            <v>--</v>
          </cell>
          <cell r="BY232" t="str">
            <v>--</v>
          </cell>
          <cell r="BZ232" t="str">
            <v>--</v>
          </cell>
          <cell r="CA232" t="str">
            <v>--</v>
          </cell>
          <cell r="CB232" t="str">
            <v>--</v>
          </cell>
          <cell r="CC232" t="str">
            <v>--</v>
          </cell>
          <cell r="CD232" t="str">
            <v>--</v>
          </cell>
          <cell r="CE232" t="str">
            <v>--</v>
          </cell>
          <cell r="CF232">
            <v>14.3</v>
          </cell>
          <cell r="CG232">
            <v>12.9</v>
          </cell>
          <cell r="CH232">
            <v>31.6</v>
          </cell>
          <cell r="CI232">
            <v>12.9</v>
          </cell>
          <cell r="CJ232">
            <v>0</v>
          </cell>
          <cell r="CK232">
            <v>0</v>
          </cell>
          <cell r="CL232">
            <v>0</v>
          </cell>
          <cell r="CM232">
            <v>0</v>
          </cell>
          <cell r="CN232">
            <v>0</v>
          </cell>
          <cell r="CO232">
            <v>19</v>
          </cell>
          <cell r="CP232">
            <v>17.100000000000001</v>
          </cell>
          <cell r="CQ232">
            <v>15.8</v>
          </cell>
          <cell r="CR232">
            <v>17.100000000000001</v>
          </cell>
          <cell r="CS232">
            <v>9.5</v>
          </cell>
          <cell r="CT232">
            <v>8.6</v>
          </cell>
          <cell r="CU232">
            <v>7.7</v>
          </cell>
          <cell r="CV232">
            <v>6.9</v>
          </cell>
          <cell r="CW232">
            <v>6.2</v>
          </cell>
          <cell r="CX232" t="str">
            <v>--</v>
          </cell>
          <cell r="CY232" t="str">
            <v>--</v>
          </cell>
          <cell r="CZ232" t="str">
            <v>--</v>
          </cell>
          <cell r="DA232" t="str">
            <v>--</v>
          </cell>
          <cell r="DB232" t="str">
            <v>--</v>
          </cell>
          <cell r="DC232" t="str">
            <v>--</v>
          </cell>
          <cell r="DD232" t="str">
            <v>--</v>
          </cell>
          <cell r="DE232" t="str">
            <v>--</v>
          </cell>
          <cell r="DF232" t="str">
            <v>--</v>
          </cell>
          <cell r="DG232">
            <v>0</v>
          </cell>
          <cell r="DH232">
            <v>1</v>
          </cell>
          <cell r="DI232">
            <v>0</v>
          </cell>
          <cell r="DJ232">
            <v>1</v>
          </cell>
          <cell r="DK232">
            <v>0</v>
          </cell>
          <cell r="DL232">
            <v>1</v>
          </cell>
          <cell r="DM232">
            <v>1.1000000000000001</v>
          </cell>
          <cell r="DN232">
            <v>1.2</v>
          </cell>
          <cell r="DO232">
            <v>1.3</v>
          </cell>
          <cell r="DP232">
            <v>0</v>
          </cell>
          <cell r="DQ232">
            <v>1</v>
          </cell>
          <cell r="DR232">
            <v>5.3</v>
          </cell>
          <cell r="DS232">
            <v>1</v>
          </cell>
          <cell r="DT232">
            <v>19</v>
          </cell>
          <cell r="DU232">
            <v>20.9</v>
          </cell>
          <cell r="DV232">
            <v>23</v>
          </cell>
          <cell r="DW232">
            <v>25.3</v>
          </cell>
          <cell r="DX232">
            <v>27.8</v>
          </cell>
          <cell r="DY232" t="str">
            <v>--</v>
          </cell>
          <cell r="DZ232" t="str">
            <v>--</v>
          </cell>
          <cell r="EA232" t="str">
            <v>--</v>
          </cell>
          <cell r="EB232" t="str">
            <v>--</v>
          </cell>
          <cell r="EC232" t="str">
            <v>--</v>
          </cell>
          <cell r="ED232" t="str">
            <v>--</v>
          </cell>
          <cell r="EE232" t="str">
            <v>--</v>
          </cell>
          <cell r="EF232" t="str">
            <v>--</v>
          </cell>
          <cell r="EG232" t="str">
            <v>--</v>
          </cell>
        </row>
        <row r="233">
          <cell r="A233" t="str">
            <v>02010115White</v>
          </cell>
          <cell r="B233" t="str">
            <v>02010115C</v>
          </cell>
          <cell r="C233" t="str">
            <v>0201</v>
          </cell>
          <cell r="D233" t="str">
            <v>02010115</v>
          </cell>
          <cell r="E233" t="str">
            <v>New Bedford</v>
          </cell>
          <cell r="F233" t="str">
            <v>John Avery Parker</v>
          </cell>
          <cell r="G233" t="str">
            <v>ES</v>
          </cell>
          <cell r="H233" t="str">
            <v>New Bedford - John Avery Parker (02010115)</v>
          </cell>
          <cell r="I233" t="str">
            <v>White</v>
          </cell>
          <cell r="J233" t="str">
            <v>02010115White</v>
          </cell>
          <cell r="K233" t="str">
            <v>Level 4</v>
          </cell>
          <cell r="L233">
            <v>69.900000000000006</v>
          </cell>
          <cell r="M233">
            <v>72.400000000000006</v>
          </cell>
          <cell r="N233">
            <v>71.900000000000006</v>
          </cell>
          <cell r="O233">
            <v>74.900000000000006</v>
          </cell>
          <cell r="P233">
            <v>68.900000000000006</v>
          </cell>
          <cell r="Q233">
            <v>77.400000000000006</v>
          </cell>
          <cell r="R233">
            <v>79.900000000000006</v>
          </cell>
          <cell r="S233">
            <v>82.4</v>
          </cell>
          <cell r="T233">
            <v>85</v>
          </cell>
          <cell r="U233">
            <v>73.900000000000006</v>
          </cell>
          <cell r="V233">
            <v>76.099999999999994</v>
          </cell>
          <cell r="W233">
            <v>75.599999999999994</v>
          </cell>
          <cell r="X233">
            <v>78.3</v>
          </cell>
          <cell r="Y233">
            <v>76</v>
          </cell>
          <cell r="Z233">
            <v>80.400000000000006</v>
          </cell>
          <cell r="AA233">
            <v>82.6</v>
          </cell>
          <cell r="AB233">
            <v>84.8</v>
          </cell>
          <cell r="AC233">
            <v>87</v>
          </cell>
          <cell r="AD233">
            <v>58.7</v>
          </cell>
          <cell r="AE233">
            <v>62.1</v>
          </cell>
          <cell r="AF233">
            <v>71.900000000000006</v>
          </cell>
          <cell r="AG233">
            <v>65.599999999999994</v>
          </cell>
          <cell r="AH233">
            <v>78.599999999999994</v>
          </cell>
          <cell r="AI233">
            <v>69</v>
          </cell>
          <cell r="AJ233">
            <v>72.5</v>
          </cell>
          <cell r="AK233">
            <v>75.900000000000006</v>
          </cell>
          <cell r="AL233">
            <v>79.400000000000006</v>
          </cell>
          <cell r="AM233" t="str">
            <v>--</v>
          </cell>
          <cell r="AN233" t="str">
            <v>--</v>
          </cell>
          <cell r="AO233" t="str">
            <v>--</v>
          </cell>
          <cell r="AP233" t="str">
            <v>--</v>
          </cell>
          <cell r="AQ233" t="str">
            <v>--</v>
          </cell>
          <cell r="AR233" t="str">
            <v>--</v>
          </cell>
          <cell r="AS233" t="str">
            <v>--</v>
          </cell>
          <cell r="AT233" t="str">
            <v>--</v>
          </cell>
          <cell r="AU233" t="str">
            <v>--</v>
          </cell>
          <cell r="AV233" t="str">
            <v>--</v>
          </cell>
          <cell r="AW233" t="str">
            <v>--</v>
          </cell>
          <cell r="AX233" t="str">
            <v>--</v>
          </cell>
          <cell r="AY233" t="str">
            <v>--</v>
          </cell>
          <cell r="AZ233" t="str">
            <v>--</v>
          </cell>
          <cell r="BA233" t="str">
            <v>--</v>
          </cell>
          <cell r="BB233" t="str">
            <v>--</v>
          </cell>
          <cell r="BC233" t="str">
            <v>--</v>
          </cell>
          <cell r="BD233" t="str">
            <v>--</v>
          </cell>
          <cell r="BE233" t="str">
            <v>--</v>
          </cell>
          <cell r="BF233" t="str">
            <v>--</v>
          </cell>
          <cell r="BG233" t="str">
            <v>--</v>
          </cell>
          <cell r="BH233" t="str">
            <v>--</v>
          </cell>
          <cell r="BI233" t="str">
            <v>--</v>
          </cell>
          <cell r="BJ233" t="str">
            <v>--</v>
          </cell>
          <cell r="BK233" t="str">
            <v>--</v>
          </cell>
          <cell r="BL233" t="str">
            <v>--</v>
          </cell>
          <cell r="BM233" t="str">
            <v>--</v>
          </cell>
          <cell r="BN233">
            <v>34</v>
          </cell>
          <cell r="BO233">
            <v>44</v>
          </cell>
          <cell r="BP233">
            <v>69.5</v>
          </cell>
          <cell r="BQ233">
            <v>51</v>
          </cell>
          <cell r="BR233">
            <v>34</v>
          </cell>
          <cell r="BS233">
            <v>51</v>
          </cell>
          <cell r="BT233">
            <v>51</v>
          </cell>
          <cell r="BU233">
            <v>51</v>
          </cell>
          <cell r="BV233">
            <v>51</v>
          </cell>
          <cell r="BW233">
            <v>40</v>
          </cell>
          <cell r="BX233">
            <v>50</v>
          </cell>
          <cell r="BY233">
            <v>71</v>
          </cell>
          <cell r="BZ233">
            <v>51</v>
          </cell>
          <cell r="CA233">
            <v>61</v>
          </cell>
          <cell r="CB233">
            <v>51</v>
          </cell>
          <cell r="CC233">
            <v>51</v>
          </cell>
          <cell r="CD233">
            <v>51</v>
          </cell>
          <cell r="CE233">
            <v>51</v>
          </cell>
          <cell r="CF233">
            <v>11.4</v>
          </cell>
          <cell r="CG233">
            <v>10.3</v>
          </cell>
          <cell r="CH233">
            <v>15</v>
          </cell>
          <cell r="CI233">
            <v>13.5</v>
          </cell>
          <cell r="CJ233">
            <v>16.3</v>
          </cell>
          <cell r="CK233">
            <v>14.7</v>
          </cell>
          <cell r="CL233">
            <v>13.2</v>
          </cell>
          <cell r="CM233">
            <v>11.9</v>
          </cell>
          <cell r="CN233">
            <v>10.7</v>
          </cell>
          <cell r="CO233">
            <v>18.2</v>
          </cell>
          <cell r="CP233">
            <v>16.399999999999999</v>
          </cell>
          <cell r="CQ233">
            <v>7.7</v>
          </cell>
          <cell r="CR233">
            <v>6.9</v>
          </cell>
          <cell r="CS233">
            <v>8.3000000000000007</v>
          </cell>
          <cell r="CT233">
            <v>7.5</v>
          </cell>
          <cell r="CU233">
            <v>6.7</v>
          </cell>
          <cell r="CV233">
            <v>6.1</v>
          </cell>
          <cell r="CW233">
            <v>5.4</v>
          </cell>
          <cell r="CX233">
            <v>30</v>
          </cell>
          <cell r="CY233">
            <v>27.4</v>
          </cell>
          <cell r="CZ233">
            <v>25</v>
          </cell>
          <cell r="DA233" t="str">
            <v>--</v>
          </cell>
          <cell r="DB233">
            <v>0</v>
          </cell>
          <cell r="DC233" t="str">
            <v>--</v>
          </cell>
          <cell r="DD233" t="str">
            <v>--</v>
          </cell>
          <cell r="DE233" t="str">
            <v>--</v>
          </cell>
          <cell r="DF233" t="str">
            <v>--</v>
          </cell>
          <cell r="DG233">
            <v>6.8</v>
          </cell>
          <cell r="DH233">
            <v>7.5</v>
          </cell>
          <cell r="DI233">
            <v>5</v>
          </cell>
          <cell r="DJ233">
            <v>5.5</v>
          </cell>
          <cell r="DK233">
            <v>4.0999999999999996</v>
          </cell>
          <cell r="DL233">
            <v>4.5</v>
          </cell>
          <cell r="DM233">
            <v>5</v>
          </cell>
          <cell r="DN233">
            <v>5.5</v>
          </cell>
          <cell r="DO233">
            <v>6</v>
          </cell>
          <cell r="DP233">
            <v>6.8</v>
          </cell>
          <cell r="DQ233">
            <v>7.5</v>
          </cell>
          <cell r="DR233">
            <v>12.8</v>
          </cell>
          <cell r="DS233">
            <v>14.1</v>
          </cell>
          <cell r="DT233">
            <v>20.8</v>
          </cell>
          <cell r="DU233">
            <v>22.9</v>
          </cell>
          <cell r="DV233">
            <v>25.2</v>
          </cell>
          <cell r="DW233">
            <v>27.7</v>
          </cell>
          <cell r="DX233">
            <v>30.5</v>
          </cell>
          <cell r="DY233">
            <v>10</v>
          </cell>
          <cell r="DZ233">
            <v>1</v>
          </cell>
          <cell r="EA233">
            <v>0</v>
          </cell>
          <cell r="EB233" t="str">
            <v>--</v>
          </cell>
          <cell r="EC233">
            <v>0</v>
          </cell>
          <cell r="ED233" t="str">
            <v>--</v>
          </cell>
          <cell r="EE233" t="str">
            <v>--</v>
          </cell>
          <cell r="EF233" t="str">
            <v>--</v>
          </cell>
          <cell r="EG233" t="str">
            <v>--</v>
          </cell>
        </row>
        <row r="234">
          <cell r="A234" t="str">
            <v>02010115Students w/disabilities</v>
          </cell>
          <cell r="B234" t="str">
            <v>02010115D</v>
          </cell>
          <cell r="C234" t="str">
            <v>0201</v>
          </cell>
          <cell r="D234" t="str">
            <v>02010115</v>
          </cell>
          <cell r="E234" t="str">
            <v>New Bedford</v>
          </cell>
          <cell r="F234" t="str">
            <v>John Avery Parker</v>
          </cell>
          <cell r="G234" t="str">
            <v>ES</v>
          </cell>
          <cell r="H234" t="str">
            <v>New Bedford - John Avery Parker (02010115)</v>
          </cell>
          <cell r="I234" t="str">
            <v>Students w/disabilities</v>
          </cell>
          <cell r="J234" t="str">
            <v>02010115Students w/disabilities</v>
          </cell>
          <cell r="K234" t="str">
            <v>Level 4</v>
          </cell>
          <cell r="L234">
            <v>61.4</v>
          </cell>
          <cell r="M234">
            <v>64.599999999999994</v>
          </cell>
          <cell r="N234">
            <v>49</v>
          </cell>
          <cell r="O234">
            <v>67.8</v>
          </cell>
          <cell r="P234">
            <v>48.3</v>
          </cell>
          <cell r="Q234">
            <v>71.099999999999994</v>
          </cell>
          <cell r="R234">
            <v>74.3</v>
          </cell>
          <cell r="S234">
            <v>77.5</v>
          </cell>
          <cell r="T234">
            <v>80.7</v>
          </cell>
          <cell r="U234">
            <v>52.3</v>
          </cell>
          <cell r="V234">
            <v>56.3</v>
          </cell>
          <cell r="W234">
            <v>48</v>
          </cell>
          <cell r="X234">
            <v>60.3</v>
          </cell>
          <cell r="Y234">
            <v>54.3</v>
          </cell>
          <cell r="Z234">
            <v>64.2</v>
          </cell>
          <cell r="AA234">
            <v>68.2</v>
          </cell>
          <cell r="AB234">
            <v>72.2</v>
          </cell>
          <cell r="AC234">
            <v>76.2</v>
          </cell>
          <cell r="AD234" t="str">
            <v>--</v>
          </cell>
          <cell r="AE234" t="str">
            <v>--</v>
          </cell>
          <cell r="AF234" t="str">
            <v>--</v>
          </cell>
          <cell r="AG234" t="str">
            <v>--</v>
          </cell>
          <cell r="AH234" t="str">
            <v>--</v>
          </cell>
          <cell r="AI234" t="str">
            <v>--</v>
          </cell>
          <cell r="AJ234" t="str">
            <v>--</v>
          </cell>
          <cell r="AK234" t="str">
            <v>--</v>
          </cell>
          <cell r="AL234" t="str">
            <v>--</v>
          </cell>
          <cell r="AM234" t="str">
            <v>--</v>
          </cell>
          <cell r="AN234" t="str">
            <v>--</v>
          </cell>
          <cell r="AO234" t="str">
            <v>--</v>
          </cell>
          <cell r="AP234" t="str">
            <v>--</v>
          </cell>
          <cell r="AQ234" t="str">
            <v>--</v>
          </cell>
          <cell r="AR234" t="str">
            <v>--</v>
          </cell>
          <cell r="AS234" t="str">
            <v>--</v>
          </cell>
          <cell r="AT234" t="str">
            <v>--</v>
          </cell>
          <cell r="AU234" t="str">
            <v>--</v>
          </cell>
          <cell r="AV234" t="str">
            <v>--</v>
          </cell>
          <cell r="AW234" t="str">
            <v>--</v>
          </cell>
          <cell r="AX234" t="str">
            <v>--</v>
          </cell>
          <cell r="AY234" t="str">
            <v>--</v>
          </cell>
          <cell r="AZ234" t="str">
            <v>--</v>
          </cell>
          <cell r="BA234" t="str">
            <v>--</v>
          </cell>
          <cell r="BB234" t="str">
            <v>--</v>
          </cell>
          <cell r="BC234" t="str">
            <v>--</v>
          </cell>
          <cell r="BD234" t="str">
            <v>--</v>
          </cell>
          <cell r="BE234" t="str">
            <v>--</v>
          </cell>
          <cell r="BF234" t="str">
            <v>--</v>
          </cell>
          <cell r="BG234" t="str">
            <v>--</v>
          </cell>
          <cell r="BH234" t="str">
            <v>--</v>
          </cell>
          <cell r="BI234" t="str">
            <v>--</v>
          </cell>
          <cell r="BJ234" t="str">
            <v>--</v>
          </cell>
          <cell r="BK234" t="str">
            <v>--</v>
          </cell>
          <cell r="BL234" t="str">
            <v>--</v>
          </cell>
          <cell r="BM234" t="str">
            <v>--</v>
          </cell>
          <cell r="BN234" t="str">
            <v>--</v>
          </cell>
          <cell r="BO234" t="str">
            <v>--</v>
          </cell>
          <cell r="BP234" t="str">
            <v>--</v>
          </cell>
          <cell r="BQ234" t="str">
            <v>--</v>
          </cell>
          <cell r="BR234" t="str">
            <v>--</v>
          </cell>
          <cell r="BS234" t="str">
            <v>--</v>
          </cell>
          <cell r="BT234" t="str">
            <v>--</v>
          </cell>
          <cell r="BU234" t="str">
            <v>--</v>
          </cell>
          <cell r="BV234" t="str">
            <v>--</v>
          </cell>
          <cell r="BW234" t="str">
            <v>--</v>
          </cell>
          <cell r="BX234" t="str">
            <v>--</v>
          </cell>
          <cell r="BY234" t="str">
            <v>--</v>
          </cell>
          <cell r="BZ234" t="str">
            <v>--</v>
          </cell>
          <cell r="CA234" t="str">
            <v>--</v>
          </cell>
          <cell r="CB234" t="str">
            <v>--</v>
          </cell>
          <cell r="CC234" t="str">
            <v>--</v>
          </cell>
          <cell r="CD234" t="str">
            <v>--</v>
          </cell>
          <cell r="CE234" t="str">
            <v>--</v>
          </cell>
          <cell r="CF234">
            <v>42.1</v>
          </cell>
          <cell r="CG234">
            <v>20.399999999999999</v>
          </cell>
          <cell r="CH234">
            <v>48</v>
          </cell>
          <cell r="CI234">
            <v>43.2</v>
          </cell>
          <cell r="CJ234">
            <v>44.8</v>
          </cell>
          <cell r="CK234">
            <v>40.299999999999997</v>
          </cell>
          <cell r="CL234">
            <v>36.299999999999997</v>
          </cell>
          <cell r="CM234">
            <v>32.700000000000003</v>
          </cell>
          <cell r="CN234">
            <v>29.4</v>
          </cell>
          <cell r="CO234">
            <v>47.4</v>
          </cell>
          <cell r="CP234">
            <v>32.799999999999997</v>
          </cell>
          <cell r="CQ234">
            <v>44</v>
          </cell>
          <cell r="CR234">
            <v>39.6</v>
          </cell>
          <cell r="CS234">
            <v>31</v>
          </cell>
          <cell r="CT234">
            <v>27.9</v>
          </cell>
          <cell r="CU234">
            <v>25.1</v>
          </cell>
          <cell r="CV234">
            <v>22.6</v>
          </cell>
          <cell r="CW234">
            <v>20.3</v>
          </cell>
          <cell r="CX234" t="str">
            <v>--</v>
          </cell>
          <cell r="CY234" t="str">
            <v>--</v>
          </cell>
          <cell r="CZ234" t="str">
            <v>--</v>
          </cell>
          <cell r="DA234" t="str">
            <v>--</v>
          </cell>
          <cell r="DB234" t="str">
            <v>--</v>
          </cell>
          <cell r="DC234" t="str">
            <v>--</v>
          </cell>
          <cell r="DD234" t="str">
            <v>--</v>
          </cell>
          <cell r="DE234" t="str">
            <v>--</v>
          </cell>
          <cell r="DF234" t="str">
            <v>--</v>
          </cell>
          <cell r="DG234">
            <v>0</v>
          </cell>
          <cell r="DH234">
            <v>1</v>
          </cell>
          <cell r="DI234">
            <v>0</v>
          </cell>
          <cell r="DJ234">
            <v>1</v>
          </cell>
          <cell r="DK234">
            <v>0</v>
          </cell>
          <cell r="DL234">
            <v>1</v>
          </cell>
          <cell r="DM234">
            <v>1.1000000000000001</v>
          </cell>
          <cell r="DN234">
            <v>1.2</v>
          </cell>
          <cell r="DO234">
            <v>1.3</v>
          </cell>
          <cell r="DP234">
            <v>0</v>
          </cell>
          <cell r="DQ234">
            <v>10</v>
          </cell>
          <cell r="DR234">
            <v>0</v>
          </cell>
          <cell r="DS234">
            <v>1</v>
          </cell>
          <cell r="DT234">
            <v>3.4</v>
          </cell>
          <cell r="DU234">
            <v>3.7</v>
          </cell>
          <cell r="DV234">
            <v>4.0999999999999996</v>
          </cell>
          <cell r="DW234">
            <v>4.5</v>
          </cell>
          <cell r="DX234">
            <v>5</v>
          </cell>
          <cell r="DY234" t="str">
            <v>--</v>
          </cell>
          <cell r="DZ234" t="str">
            <v>--</v>
          </cell>
          <cell r="EA234" t="str">
            <v>--</v>
          </cell>
          <cell r="EB234" t="str">
            <v>--</v>
          </cell>
          <cell r="EC234" t="str">
            <v>--</v>
          </cell>
          <cell r="ED234" t="str">
            <v>--</v>
          </cell>
          <cell r="EE234" t="str">
            <v>--</v>
          </cell>
          <cell r="EF234" t="str">
            <v>--</v>
          </cell>
          <cell r="EG234" t="str">
            <v>--</v>
          </cell>
        </row>
        <row r="235">
          <cell r="A235" t="str">
            <v>02010115Low income</v>
          </cell>
          <cell r="B235" t="str">
            <v>02010115F</v>
          </cell>
          <cell r="C235" t="str">
            <v>0201</v>
          </cell>
          <cell r="D235" t="str">
            <v>02010115</v>
          </cell>
          <cell r="E235" t="str">
            <v>New Bedford</v>
          </cell>
          <cell r="F235" t="str">
            <v>John Avery Parker</v>
          </cell>
          <cell r="G235" t="str">
            <v>ES</v>
          </cell>
          <cell r="H235" t="str">
            <v>New Bedford - John Avery Parker (02010115)</v>
          </cell>
          <cell r="I235" t="str">
            <v>Low income</v>
          </cell>
          <cell r="J235" t="str">
            <v>02010115Low income</v>
          </cell>
          <cell r="K235" t="str">
            <v>Level 4</v>
          </cell>
          <cell r="L235">
            <v>66.8</v>
          </cell>
          <cell r="M235">
            <v>69.599999999999994</v>
          </cell>
          <cell r="N235">
            <v>68</v>
          </cell>
          <cell r="O235">
            <v>72.3</v>
          </cell>
          <cell r="P235">
            <v>68.8</v>
          </cell>
          <cell r="Q235">
            <v>75.099999999999994</v>
          </cell>
          <cell r="R235">
            <v>77.900000000000006</v>
          </cell>
          <cell r="S235">
            <v>80.599999999999994</v>
          </cell>
          <cell r="T235">
            <v>83.4</v>
          </cell>
          <cell r="U235">
            <v>67.8</v>
          </cell>
          <cell r="V235">
            <v>70.5</v>
          </cell>
          <cell r="W235">
            <v>67.2</v>
          </cell>
          <cell r="X235">
            <v>73.2</v>
          </cell>
          <cell r="Y235">
            <v>75.3</v>
          </cell>
          <cell r="Z235">
            <v>75.900000000000006</v>
          </cell>
          <cell r="AA235">
            <v>78.5</v>
          </cell>
          <cell r="AB235">
            <v>81.2</v>
          </cell>
          <cell r="AC235">
            <v>83.9</v>
          </cell>
          <cell r="AD235">
            <v>58.7</v>
          </cell>
          <cell r="AE235">
            <v>62.1</v>
          </cell>
          <cell r="AF235">
            <v>64.099999999999994</v>
          </cell>
          <cell r="AG235">
            <v>65.599999999999994</v>
          </cell>
          <cell r="AH235">
            <v>75</v>
          </cell>
          <cell r="AI235">
            <v>69</v>
          </cell>
          <cell r="AJ235">
            <v>72.5</v>
          </cell>
          <cell r="AK235">
            <v>75.900000000000006</v>
          </cell>
          <cell r="AL235">
            <v>79.400000000000006</v>
          </cell>
          <cell r="AM235" t="str">
            <v>--</v>
          </cell>
          <cell r="AN235" t="str">
            <v>--</v>
          </cell>
          <cell r="AO235" t="str">
            <v>--</v>
          </cell>
          <cell r="AP235" t="str">
            <v>--</v>
          </cell>
          <cell r="AQ235" t="str">
            <v>--</v>
          </cell>
          <cell r="AR235" t="str">
            <v>--</v>
          </cell>
          <cell r="AS235" t="str">
            <v>--</v>
          </cell>
          <cell r="AT235" t="str">
            <v>--</v>
          </cell>
          <cell r="AU235" t="str">
            <v>--</v>
          </cell>
          <cell r="AV235" t="str">
            <v>--</v>
          </cell>
          <cell r="AW235" t="str">
            <v>--</v>
          </cell>
          <cell r="AX235" t="str">
            <v>--</v>
          </cell>
          <cell r="AY235" t="str">
            <v>--</v>
          </cell>
          <cell r="AZ235" t="str">
            <v>--</v>
          </cell>
          <cell r="BA235" t="str">
            <v>--</v>
          </cell>
          <cell r="BB235" t="str">
            <v>--</v>
          </cell>
          <cell r="BC235" t="str">
            <v>--</v>
          </cell>
          <cell r="BD235" t="str">
            <v>--</v>
          </cell>
          <cell r="BE235" t="str">
            <v>--</v>
          </cell>
          <cell r="BF235" t="str">
            <v>--</v>
          </cell>
          <cell r="BG235" t="str">
            <v>--</v>
          </cell>
          <cell r="BH235" t="str">
            <v>--</v>
          </cell>
          <cell r="BI235" t="str">
            <v>--</v>
          </cell>
          <cell r="BJ235" t="str">
            <v>--</v>
          </cell>
          <cell r="BK235" t="str">
            <v>--</v>
          </cell>
          <cell r="BL235" t="str">
            <v>--</v>
          </cell>
          <cell r="BM235" t="str">
            <v>--</v>
          </cell>
          <cell r="BN235">
            <v>40</v>
          </cell>
          <cell r="BO235">
            <v>50</v>
          </cell>
          <cell r="BP235">
            <v>51</v>
          </cell>
          <cell r="BQ235">
            <v>51</v>
          </cell>
          <cell r="BR235">
            <v>51</v>
          </cell>
          <cell r="BS235">
            <v>51</v>
          </cell>
          <cell r="BT235">
            <v>51</v>
          </cell>
          <cell r="BU235">
            <v>51</v>
          </cell>
          <cell r="BV235">
            <v>51</v>
          </cell>
          <cell r="BW235">
            <v>40</v>
          </cell>
          <cell r="BX235">
            <v>50</v>
          </cell>
          <cell r="BY235">
            <v>58.5</v>
          </cell>
          <cell r="BZ235">
            <v>51</v>
          </cell>
          <cell r="CA235">
            <v>61.5</v>
          </cell>
          <cell r="CB235">
            <v>51</v>
          </cell>
          <cell r="CC235">
            <v>51</v>
          </cell>
          <cell r="CD235">
            <v>51</v>
          </cell>
          <cell r="CE235">
            <v>51</v>
          </cell>
          <cell r="CF235">
            <v>14.4</v>
          </cell>
          <cell r="CG235">
            <v>13</v>
          </cell>
          <cell r="CH235">
            <v>16.3</v>
          </cell>
          <cell r="CI235">
            <v>14.7</v>
          </cell>
          <cell r="CJ235">
            <v>17.8</v>
          </cell>
          <cell r="CK235">
            <v>16</v>
          </cell>
          <cell r="CL235">
            <v>14.4</v>
          </cell>
          <cell r="CM235">
            <v>13</v>
          </cell>
          <cell r="CN235">
            <v>11.7</v>
          </cell>
          <cell r="CO235">
            <v>18.600000000000001</v>
          </cell>
          <cell r="CP235">
            <v>16.7</v>
          </cell>
          <cell r="CQ235">
            <v>19.399999999999999</v>
          </cell>
          <cell r="CR235">
            <v>17.5</v>
          </cell>
          <cell r="CS235">
            <v>12</v>
          </cell>
          <cell r="CT235">
            <v>10.8</v>
          </cell>
          <cell r="CU235">
            <v>9.6999999999999993</v>
          </cell>
          <cell r="CV235">
            <v>8.6999999999999993</v>
          </cell>
          <cell r="CW235">
            <v>7.9</v>
          </cell>
          <cell r="CX235">
            <v>30.8</v>
          </cell>
          <cell r="CY235">
            <v>27.7</v>
          </cell>
          <cell r="CZ235">
            <v>21.7</v>
          </cell>
          <cell r="DA235">
            <v>19.5</v>
          </cell>
          <cell r="DB235">
            <v>9.6999999999999993</v>
          </cell>
          <cell r="DC235">
            <v>8.6999999999999993</v>
          </cell>
          <cell r="DD235">
            <v>7.9</v>
          </cell>
          <cell r="DE235">
            <v>7.1</v>
          </cell>
          <cell r="DF235">
            <v>6.4</v>
          </cell>
          <cell r="DG235">
            <v>1</v>
          </cell>
          <cell r="DH235">
            <v>1.1000000000000001</v>
          </cell>
          <cell r="DI235">
            <v>1.9</v>
          </cell>
          <cell r="DJ235">
            <v>2.1</v>
          </cell>
          <cell r="DK235">
            <v>2</v>
          </cell>
          <cell r="DL235">
            <v>2.2000000000000002</v>
          </cell>
          <cell r="DM235">
            <v>2.4</v>
          </cell>
          <cell r="DN235">
            <v>2.7</v>
          </cell>
          <cell r="DO235">
            <v>2.9</v>
          </cell>
          <cell r="DP235">
            <v>4.0999999999999996</v>
          </cell>
          <cell r="DQ235">
            <v>4.5</v>
          </cell>
          <cell r="DR235">
            <v>9.6999999999999993</v>
          </cell>
          <cell r="DS235">
            <v>10.7</v>
          </cell>
          <cell r="DT235">
            <v>17</v>
          </cell>
          <cell r="DU235">
            <v>18.7</v>
          </cell>
          <cell r="DV235">
            <v>20.6</v>
          </cell>
          <cell r="DW235">
            <v>22.6</v>
          </cell>
          <cell r="DX235">
            <v>24.9</v>
          </cell>
          <cell r="DY235">
            <v>3.8</v>
          </cell>
          <cell r="DZ235">
            <v>4.2</v>
          </cell>
          <cell r="EA235">
            <v>0</v>
          </cell>
          <cell r="EB235">
            <v>1</v>
          </cell>
          <cell r="EC235">
            <v>9.6999999999999993</v>
          </cell>
          <cell r="ED235">
            <v>10.7</v>
          </cell>
          <cell r="EE235">
            <v>11.7</v>
          </cell>
          <cell r="EF235">
            <v>12.9</v>
          </cell>
          <cell r="EG235">
            <v>14.2</v>
          </cell>
        </row>
        <row r="236">
          <cell r="A236" t="str">
            <v>02010115Hispanic/Latino</v>
          </cell>
          <cell r="B236" t="str">
            <v>02010115H</v>
          </cell>
          <cell r="C236" t="str">
            <v>0201</v>
          </cell>
          <cell r="D236" t="str">
            <v>02010115</v>
          </cell>
          <cell r="E236" t="str">
            <v>New Bedford</v>
          </cell>
          <cell r="F236" t="str">
            <v>John Avery Parker</v>
          </cell>
          <cell r="G236" t="str">
            <v>ES</v>
          </cell>
          <cell r="H236" t="str">
            <v>New Bedford - John Avery Parker (02010115)</v>
          </cell>
          <cell r="I236" t="str">
            <v>Hispanic/Latino</v>
          </cell>
          <cell r="J236" t="str">
            <v>02010115Hispanic/Latino</v>
          </cell>
          <cell r="K236" t="str">
            <v>Level 4</v>
          </cell>
          <cell r="L236">
            <v>63.6</v>
          </cell>
          <cell r="M236">
            <v>66.599999999999994</v>
          </cell>
          <cell r="N236">
            <v>68.599999999999994</v>
          </cell>
          <cell r="O236">
            <v>69.7</v>
          </cell>
          <cell r="P236">
            <v>62.9</v>
          </cell>
          <cell r="Q236">
            <v>72.7</v>
          </cell>
          <cell r="R236">
            <v>75.7</v>
          </cell>
          <cell r="S236">
            <v>78.8</v>
          </cell>
          <cell r="T236">
            <v>81.8</v>
          </cell>
          <cell r="U236">
            <v>62.9</v>
          </cell>
          <cell r="V236">
            <v>66</v>
          </cell>
          <cell r="W236">
            <v>64.7</v>
          </cell>
          <cell r="X236">
            <v>69.099999999999994</v>
          </cell>
          <cell r="Y236">
            <v>71.2</v>
          </cell>
          <cell r="Z236">
            <v>72.2</v>
          </cell>
          <cell r="AA236">
            <v>75.3</v>
          </cell>
          <cell r="AB236">
            <v>78.400000000000006</v>
          </cell>
          <cell r="AC236">
            <v>81.5</v>
          </cell>
          <cell r="AD236" t="str">
            <v>--</v>
          </cell>
          <cell r="AE236" t="str">
            <v>--</v>
          </cell>
          <cell r="AF236" t="str">
            <v>--</v>
          </cell>
          <cell r="AG236" t="str">
            <v>--</v>
          </cell>
          <cell r="AH236" t="str">
            <v>--</v>
          </cell>
          <cell r="AI236" t="str">
            <v>--</v>
          </cell>
          <cell r="AJ236" t="str">
            <v>--</v>
          </cell>
          <cell r="AK236" t="str">
            <v>--</v>
          </cell>
          <cell r="AL236" t="str">
            <v>--</v>
          </cell>
          <cell r="AM236" t="str">
            <v>--</v>
          </cell>
          <cell r="AN236" t="str">
            <v>--</v>
          </cell>
          <cell r="AO236" t="str">
            <v>--</v>
          </cell>
          <cell r="AP236" t="str">
            <v>--</v>
          </cell>
          <cell r="AQ236" t="str">
            <v>--</v>
          </cell>
          <cell r="AR236" t="str">
            <v>--</v>
          </cell>
          <cell r="AS236" t="str">
            <v>--</v>
          </cell>
          <cell r="AT236" t="str">
            <v>--</v>
          </cell>
          <cell r="AU236" t="str">
            <v>--</v>
          </cell>
          <cell r="AV236" t="str">
            <v>--</v>
          </cell>
          <cell r="AW236" t="str">
            <v>--</v>
          </cell>
          <cell r="AX236" t="str">
            <v>--</v>
          </cell>
          <cell r="AY236" t="str">
            <v>--</v>
          </cell>
          <cell r="AZ236" t="str">
            <v>--</v>
          </cell>
          <cell r="BA236" t="str">
            <v>--</v>
          </cell>
          <cell r="BB236" t="str">
            <v>--</v>
          </cell>
          <cell r="BC236" t="str">
            <v>--</v>
          </cell>
          <cell r="BD236" t="str">
            <v>--</v>
          </cell>
          <cell r="BE236" t="str">
            <v>--</v>
          </cell>
          <cell r="BF236" t="str">
            <v>--</v>
          </cell>
          <cell r="BG236" t="str">
            <v>--</v>
          </cell>
          <cell r="BH236" t="str">
            <v>--</v>
          </cell>
          <cell r="BI236" t="str">
            <v>--</v>
          </cell>
          <cell r="BJ236" t="str">
            <v>--</v>
          </cell>
          <cell r="BK236" t="str">
            <v>--</v>
          </cell>
          <cell r="BL236" t="str">
            <v>--</v>
          </cell>
          <cell r="BM236" t="str">
            <v>--</v>
          </cell>
          <cell r="BN236" t="str">
            <v>--</v>
          </cell>
          <cell r="BO236" t="str">
            <v>--</v>
          </cell>
          <cell r="BP236" t="str">
            <v>--</v>
          </cell>
          <cell r="BQ236" t="str">
            <v>--</v>
          </cell>
          <cell r="BR236" t="str">
            <v>--</v>
          </cell>
          <cell r="BS236" t="str">
            <v>--</v>
          </cell>
          <cell r="BT236" t="str">
            <v>--</v>
          </cell>
          <cell r="BU236" t="str">
            <v>--</v>
          </cell>
          <cell r="BV236" t="str">
            <v>--</v>
          </cell>
          <cell r="BW236" t="str">
            <v>--</v>
          </cell>
          <cell r="BX236" t="str">
            <v>--</v>
          </cell>
          <cell r="BY236" t="str">
            <v>--</v>
          </cell>
          <cell r="BZ236" t="str">
            <v>--</v>
          </cell>
          <cell r="CA236" t="str">
            <v>--</v>
          </cell>
          <cell r="CB236" t="str">
            <v>--</v>
          </cell>
          <cell r="CC236" t="str">
            <v>--</v>
          </cell>
          <cell r="CD236" t="str">
            <v>--</v>
          </cell>
          <cell r="CE236" t="str">
            <v>--</v>
          </cell>
          <cell r="CF236">
            <v>20</v>
          </cell>
          <cell r="CG236">
            <v>18</v>
          </cell>
          <cell r="CH236">
            <v>12.8</v>
          </cell>
          <cell r="CI236">
            <v>11.5</v>
          </cell>
          <cell r="CJ236">
            <v>30.3</v>
          </cell>
          <cell r="CK236">
            <v>27.3</v>
          </cell>
          <cell r="CL236">
            <v>24.5</v>
          </cell>
          <cell r="CM236">
            <v>22.1</v>
          </cell>
          <cell r="CN236">
            <v>19.899999999999999</v>
          </cell>
          <cell r="CO236">
            <v>14.3</v>
          </cell>
          <cell r="CP236">
            <v>12.9</v>
          </cell>
          <cell r="CQ236">
            <v>25.6</v>
          </cell>
          <cell r="CR236">
            <v>23</v>
          </cell>
          <cell r="CS236">
            <v>18.2</v>
          </cell>
          <cell r="CT236">
            <v>16.399999999999999</v>
          </cell>
          <cell r="CU236">
            <v>14.7</v>
          </cell>
          <cell r="CV236">
            <v>13.3</v>
          </cell>
          <cell r="CW236">
            <v>11.9</v>
          </cell>
          <cell r="CX236" t="str">
            <v>--</v>
          </cell>
          <cell r="CY236" t="str">
            <v>--</v>
          </cell>
          <cell r="CZ236" t="str">
            <v>--</v>
          </cell>
          <cell r="DA236" t="str">
            <v>--</v>
          </cell>
          <cell r="DB236" t="str">
            <v>--</v>
          </cell>
          <cell r="DC236" t="str">
            <v>--</v>
          </cell>
          <cell r="DD236" t="str">
            <v>--</v>
          </cell>
          <cell r="DE236" t="str">
            <v>--</v>
          </cell>
          <cell r="DF236" t="str">
            <v>--</v>
          </cell>
          <cell r="DG236">
            <v>0</v>
          </cell>
          <cell r="DH236">
            <v>1</v>
          </cell>
          <cell r="DI236">
            <v>2.6</v>
          </cell>
          <cell r="DJ236">
            <v>2.9</v>
          </cell>
          <cell r="DK236">
            <v>0</v>
          </cell>
          <cell r="DL236">
            <v>1</v>
          </cell>
          <cell r="DM236">
            <v>1.1000000000000001</v>
          </cell>
          <cell r="DN236">
            <v>1.2</v>
          </cell>
          <cell r="DO236">
            <v>1.3</v>
          </cell>
          <cell r="DP236">
            <v>2.9</v>
          </cell>
          <cell r="DQ236">
            <v>3.2</v>
          </cell>
          <cell r="DR236">
            <v>5.0999999999999996</v>
          </cell>
          <cell r="DS236">
            <v>5.6</v>
          </cell>
          <cell r="DT236">
            <v>9.1</v>
          </cell>
          <cell r="DU236">
            <v>10</v>
          </cell>
          <cell r="DV236">
            <v>11</v>
          </cell>
          <cell r="DW236">
            <v>12.1</v>
          </cell>
          <cell r="DX236">
            <v>13.3</v>
          </cell>
          <cell r="DY236" t="str">
            <v>--</v>
          </cell>
          <cell r="DZ236" t="str">
            <v>--</v>
          </cell>
          <cell r="EA236" t="str">
            <v>--</v>
          </cell>
          <cell r="EB236" t="str">
            <v>--</v>
          </cell>
          <cell r="EC236" t="str">
            <v>--</v>
          </cell>
          <cell r="ED236" t="str">
            <v>--</v>
          </cell>
          <cell r="EE236" t="str">
            <v>--</v>
          </cell>
          <cell r="EF236" t="str">
            <v>--</v>
          </cell>
          <cell r="EG236" t="str">
            <v>--</v>
          </cell>
        </row>
        <row r="237">
          <cell r="A237" t="str">
            <v>02010115ELL and Former ELL</v>
          </cell>
          <cell r="B237" t="str">
            <v>02010115L</v>
          </cell>
          <cell r="C237" t="str">
            <v>0201</v>
          </cell>
          <cell r="D237" t="str">
            <v>02010115</v>
          </cell>
          <cell r="E237" t="str">
            <v>New Bedford</v>
          </cell>
          <cell r="F237" t="str">
            <v>John Avery Parker</v>
          </cell>
          <cell r="G237" t="str">
            <v>ES</v>
          </cell>
          <cell r="H237" t="str">
            <v>New Bedford - John Avery Parker (02010115)</v>
          </cell>
          <cell r="I237" t="str">
            <v>ELL and Former ELL</v>
          </cell>
          <cell r="J237" t="str">
            <v>02010115ELL and Former ELL</v>
          </cell>
          <cell r="K237" t="str">
            <v>Level 4</v>
          </cell>
          <cell r="L237" t="str">
            <v>--</v>
          </cell>
          <cell r="M237" t="str">
            <v>--</v>
          </cell>
          <cell r="N237" t="str">
            <v>--</v>
          </cell>
          <cell r="O237" t="str">
            <v>--</v>
          </cell>
          <cell r="P237" t="str">
            <v>--</v>
          </cell>
          <cell r="Q237" t="str">
            <v>--</v>
          </cell>
          <cell r="R237" t="str">
            <v>--</v>
          </cell>
          <cell r="S237" t="str">
            <v>--</v>
          </cell>
          <cell r="T237" t="str">
            <v>--</v>
          </cell>
          <cell r="U237" t="str">
            <v>--</v>
          </cell>
          <cell r="V237" t="str">
            <v>--</v>
          </cell>
          <cell r="W237" t="str">
            <v>--</v>
          </cell>
          <cell r="X237" t="str">
            <v>--</v>
          </cell>
          <cell r="Y237" t="str">
            <v>--</v>
          </cell>
          <cell r="Z237" t="str">
            <v>--</v>
          </cell>
          <cell r="AA237" t="str">
            <v>--</v>
          </cell>
          <cell r="AB237" t="str">
            <v>--</v>
          </cell>
          <cell r="AC237" t="str">
            <v>--</v>
          </cell>
          <cell r="AD237" t="str">
            <v>--</v>
          </cell>
          <cell r="AE237" t="str">
            <v>--</v>
          </cell>
          <cell r="AF237" t="str">
            <v>--</v>
          </cell>
          <cell r="AG237" t="str">
            <v>--</v>
          </cell>
          <cell r="AH237" t="str">
            <v>--</v>
          </cell>
          <cell r="AI237" t="str">
            <v>--</v>
          </cell>
          <cell r="AJ237" t="str">
            <v>--</v>
          </cell>
          <cell r="AK237" t="str">
            <v>--</v>
          </cell>
          <cell r="AL237" t="str">
            <v>--</v>
          </cell>
          <cell r="AM237" t="str">
            <v>--</v>
          </cell>
          <cell r="AN237" t="str">
            <v>--</v>
          </cell>
          <cell r="AO237" t="str">
            <v>--</v>
          </cell>
          <cell r="AP237" t="str">
            <v>--</v>
          </cell>
          <cell r="AQ237" t="str">
            <v>--</v>
          </cell>
          <cell r="AR237" t="str">
            <v>--</v>
          </cell>
          <cell r="AS237" t="str">
            <v>--</v>
          </cell>
          <cell r="AT237" t="str">
            <v>--</v>
          </cell>
          <cell r="AU237" t="str">
            <v>--</v>
          </cell>
          <cell r="AV237" t="str">
            <v>--</v>
          </cell>
          <cell r="AW237" t="str">
            <v>--</v>
          </cell>
          <cell r="AX237" t="str">
            <v>--</v>
          </cell>
          <cell r="AY237" t="str">
            <v>--</v>
          </cell>
          <cell r="AZ237" t="str">
            <v>--</v>
          </cell>
          <cell r="BA237" t="str">
            <v>--</v>
          </cell>
          <cell r="BB237" t="str">
            <v>--</v>
          </cell>
          <cell r="BC237" t="str">
            <v>--</v>
          </cell>
          <cell r="BD237" t="str">
            <v>--</v>
          </cell>
          <cell r="BE237" t="str">
            <v>--</v>
          </cell>
          <cell r="BF237" t="str">
            <v>--</v>
          </cell>
          <cell r="BG237" t="str">
            <v>--</v>
          </cell>
          <cell r="BH237" t="str">
            <v>--</v>
          </cell>
          <cell r="BI237" t="str">
            <v>--</v>
          </cell>
          <cell r="BJ237" t="str">
            <v>--</v>
          </cell>
          <cell r="BK237" t="str">
            <v>--</v>
          </cell>
          <cell r="BL237" t="str">
            <v>--</v>
          </cell>
          <cell r="BM237" t="str">
            <v>--</v>
          </cell>
          <cell r="BN237" t="str">
            <v>--</v>
          </cell>
          <cell r="BO237" t="str">
            <v>--</v>
          </cell>
          <cell r="BP237" t="str">
            <v>--</v>
          </cell>
          <cell r="BQ237" t="str">
            <v>--</v>
          </cell>
          <cell r="BR237" t="str">
            <v>--</v>
          </cell>
          <cell r="BS237" t="str">
            <v>--</v>
          </cell>
          <cell r="BT237" t="str">
            <v>--</v>
          </cell>
          <cell r="BU237" t="str">
            <v>--</v>
          </cell>
          <cell r="BV237" t="str">
            <v>--</v>
          </cell>
          <cell r="BW237" t="str">
            <v>--</v>
          </cell>
          <cell r="BX237" t="str">
            <v>--</v>
          </cell>
          <cell r="BY237" t="str">
            <v>--</v>
          </cell>
          <cell r="BZ237" t="str">
            <v>--</v>
          </cell>
          <cell r="CA237" t="str">
            <v>--</v>
          </cell>
          <cell r="CB237" t="str">
            <v>--</v>
          </cell>
          <cell r="CC237" t="str">
            <v>--</v>
          </cell>
          <cell r="CD237" t="str">
            <v>--</v>
          </cell>
          <cell r="CE237" t="str">
            <v>--</v>
          </cell>
          <cell r="CF237" t="str">
            <v>--</v>
          </cell>
          <cell r="CG237" t="str">
            <v>--</v>
          </cell>
          <cell r="CH237" t="str">
            <v>--</v>
          </cell>
          <cell r="CI237" t="str">
            <v>--</v>
          </cell>
          <cell r="CJ237" t="str">
            <v>--</v>
          </cell>
          <cell r="CK237" t="str">
            <v>--</v>
          </cell>
          <cell r="CL237" t="str">
            <v>--</v>
          </cell>
          <cell r="CM237" t="str">
            <v>--</v>
          </cell>
          <cell r="CN237" t="str">
            <v>--</v>
          </cell>
          <cell r="CO237" t="str">
            <v>--</v>
          </cell>
          <cell r="CP237" t="str">
            <v>--</v>
          </cell>
          <cell r="CQ237" t="str">
            <v>--</v>
          </cell>
          <cell r="CR237" t="str">
            <v>--</v>
          </cell>
          <cell r="CS237" t="str">
            <v>--</v>
          </cell>
          <cell r="CT237" t="str">
            <v>--</v>
          </cell>
          <cell r="CU237" t="str">
            <v>--</v>
          </cell>
          <cell r="CV237" t="str">
            <v>--</v>
          </cell>
          <cell r="CW237" t="str">
            <v>--</v>
          </cell>
          <cell r="CX237" t="str">
            <v>--</v>
          </cell>
          <cell r="CY237" t="str">
            <v>--</v>
          </cell>
          <cell r="CZ237" t="str">
            <v>--</v>
          </cell>
          <cell r="DA237" t="str">
            <v>--</v>
          </cell>
          <cell r="DB237" t="str">
            <v>--</v>
          </cell>
          <cell r="DC237" t="str">
            <v>--</v>
          </cell>
          <cell r="DD237" t="str">
            <v>--</v>
          </cell>
          <cell r="DE237" t="str">
            <v>--</v>
          </cell>
          <cell r="DF237" t="str">
            <v>--</v>
          </cell>
          <cell r="DG237" t="str">
            <v>--</v>
          </cell>
          <cell r="DH237" t="str">
            <v>--</v>
          </cell>
          <cell r="DI237" t="str">
            <v>--</v>
          </cell>
          <cell r="DJ237" t="str">
            <v>--</v>
          </cell>
          <cell r="DK237" t="str">
            <v>--</v>
          </cell>
          <cell r="DL237" t="str">
            <v>--</v>
          </cell>
          <cell r="DM237" t="str">
            <v>--</v>
          </cell>
          <cell r="DN237" t="str">
            <v>--</v>
          </cell>
          <cell r="DO237" t="str">
            <v>--</v>
          </cell>
          <cell r="DP237" t="str">
            <v>--</v>
          </cell>
          <cell r="DQ237" t="str">
            <v>--</v>
          </cell>
          <cell r="DR237" t="str">
            <v>--</v>
          </cell>
          <cell r="DS237" t="str">
            <v>--</v>
          </cell>
          <cell r="DT237" t="str">
            <v>--</v>
          </cell>
          <cell r="DU237" t="str">
            <v>--</v>
          </cell>
          <cell r="DV237" t="str">
            <v>--</v>
          </cell>
          <cell r="DW237" t="str">
            <v>--</v>
          </cell>
          <cell r="DX237" t="str">
            <v>--</v>
          </cell>
          <cell r="DY237" t="str">
            <v>--</v>
          </cell>
          <cell r="DZ237" t="str">
            <v>--</v>
          </cell>
          <cell r="EA237" t="str">
            <v>--</v>
          </cell>
          <cell r="EB237" t="str">
            <v>--</v>
          </cell>
          <cell r="EC237" t="str">
            <v>--</v>
          </cell>
          <cell r="ED237" t="str">
            <v>--</v>
          </cell>
          <cell r="EE237" t="str">
            <v>--</v>
          </cell>
          <cell r="EF237" t="str">
            <v>--</v>
          </cell>
          <cell r="EG237" t="str">
            <v>--</v>
          </cell>
        </row>
        <row r="238">
          <cell r="A238" t="str">
            <v>02010115Multi-race, Non-Hisp./Lat.</v>
          </cell>
          <cell r="B238" t="str">
            <v>02010115M</v>
          </cell>
          <cell r="C238" t="str">
            <v>0201</v>
          </cell>
          <cell r="D238" t="str">
            <v>02010115</v>
          </cell>
          <cell r="E238" t="str">
            <v>New Bedford</v>
          </cell>
          <cell r="F238" t="str">
            <v>John Avery Parker</v>
          </cell>
          <cell r="G238" t="str">
            <v>ES</v>
          </cell>
          <cell r="H238" t="str">
            <v>New Bedford - John Avery Parker (02010115)</v>
          </cell>
          <cell r="I238" t="str">
            <v>Multi-race, Non-Hisp./Lat.</v>
          </cell>
          <cell r="J238" t="str">
            <v>02010115Multi-race, Non-Hisp./Lat.</v>
          </cell>
          <cell r="K238" t="str">
            <v>Level 4</v>
          </cell>
          <cell r="L238" t="str">
            <v>--</v>
          </cell>
          <cell r="M238" t="str">
            <v>--</v>
          </cell>
          <cell r="N238" t="str">
            <v>--</v>
          </cell>
          <cell r="O238" t="str">
            <v>--</v>
          </cell>
          <cell r="P238" t="str">
            <v>--</v>
          </cell>
          <cell r="Q238" t="str">
            <v>--</v>
          </cell>
          <cell r="R238" t="str">
            <v>--</v>
          </cell>
          <cell r="S238" t="str">
            <v>--</v>
          </cell>
          <cell r="T238" t="str">
            <v>--</v>
          </cell>
          <cell r="U238" t="str">
            <v>--</v>
          </cell>
          <cell r="V238" t="str">
            <v>--</v>
          </cell>
          <cell r="W238" t="str">
            <v>--</v>
          </cell>
          <cell r="X238" t="str">
            <v>--</v>
          </cell>
          <cell r="Y238" t="str">
            <v>--</v>
          </cell>
          <cell r="Z238" t="str">
            <v>--</v>
          </cell>
          <cell r="AA238" t="str">
            <v>--</v>
          </cell>
          <cell r="AB238" t="str">
            <v>--</v>
          </cell>
          <cell r="AC238" t="str">
            <v>--</v>
          </cell>
          <cell r="AD238" t="str">
            <v>--</v>
          </cell>
          <cell r="AE238" t="str">
            <v>--</v>
          </cell>
          <cell r="AF238" t="str">
            <v>--</v>
          </cell>
          <cell r="AG238" t="str">
            <v>--</v>
          </cell>
          <cell r="AH238" t="str">
            <v>--</v>
          </cell>
          <cell r="AI238" t="str">
            <v>--</v>
          </cell>
          <cell r="AJ238" t="str">
            <v>--</v>
          </cell>
          <cell r="AK238" t="str">
            <v>--</v>
          </cell>
          <cell r="AL238" t="str">
            <v>--</v>
          </cell>
          <cell r="AM238" t="str">
            <v>--</v>
          </cell>
          <cell r="AN238" t="str">
            <v>--</v>
          </cell>
          <cell r="AO238" t="str">
            <v>--</v>
          </cell>
          <cell r="AP238" t="str">
            <v>--</v>
          </cell>
          <cell r="AQ238" t="str">
            <v>--</v>
          </cell>
          <cell r="AR238" t="str">
            <v>--</v>
          </cell>
          <cell r="AS238" t="str">
            <v>--</v>
          </cell>
          <cell r="AT238" t="str">
            <v>--</v>
          </cell>
          <cell r="AU238" t="str">
            <v>--</v>
          </cell>
          <cell r="AV238" t="str">
            <v>--</v>
          </cell>
          <cell r="AW238" t="str">
            <v>--</v>
          </cell>
          <cell r="AX238" t="str">
            <v>--</v>
          </cell>
          <cell r="AY238" t="str">
            <v>--</v>
          </cell>
          <cell r="AZ238" t="str">
            <v>--</v>
          </cell>
          <cell r="BA238" t="str">
            <v>--</v>
          </cell>
          <cell r="BB238" t="str">
            <v>--</v>
          </cell>
          <cell r="BC238" t="str">
            <v>--</v>
          </cell>
          <cell r="BD238" t="str">
            <v>--</v>
          </cell>
          <cell r="BE238" t="str">
            <v>--</v>
          </cell>
          <cell r="BF238" t="str">
            <v>--</v>
          </cell>
          <cell r="BG238" t="str">
            <v>--</v>
          </cell>
          <cell r="BH238" t="str">
            <v>--</v>
          </cell>
          <cell r="BI238" t="str">
            <v>--</v>
          </cell>
          <cell r="BJ238" t="str">
            <v>--</v>
          </cell>
          <cell r="BK238" t="str">
            <v>--</v>
          </cell>
          <cell r="BL238" t="str">
            <v>--</v>
          </cell>
          <cell r="BM238" t="str">
            <v>--</v>
          </cell>
          <cell r="BN238" t="str">
            <v>--</v>
          </cell>
          <cell r="BO238" t="str">
            <v>--</v>
          </cell>
          <cell r="BP238" t="str">
            <v>--</v>
          </cell>
          <cell r="BQ238" t="str">
            <v>--</v>
          </cell>
          <cell r="BR238" t="str">
            <v>--</v>
          </cell>
          <cell r="BS238" t="str">
            <v>--</v>
          </cell>
          <cell r="BT238" t="str">
            <v>--</v>
          </cell>
          <cell r="BU238" t="str">
            <v>--</v>
          </cell>
          <cell r="BV238" t="str">
            <v>--</v>
          </cell>
          <cell r="BW238" t="str">
            <v>--</v>
          </cell>
          <cell r="BX238" t="str">
            <v>--</v>
          </cell>
          <cell r="BY238" t="str">
            <v>--</v>
          </cell>
          <cell r="BZ238" t="str">
            <v>--</v>
          </cell>
          <cell r="CA238" t="str">
            <v>--</v>
          </cell>
          <cell r="CB238" t="str">
            <v>--</v>
          </cell>
          <cell r="CC238" t="str">
            <v>--</v>
          </cell>
          <cell r="CD238" t="str">
            <v>--</v>
          </cell>
          <cell r="CE238" t="str">
            <v>--</v>
          </cell>
          <cell r="CF238" t="str">
            <v>--</v>
          </cell>
          <cell r="CG238" t="str">
            <v>--</v>
          </cell>
          <cell r="CH238" t="str">
            <v>--</v>
          </cell>
          <cell r="CI238" t="str">
            <v>--</v>
          </cell>
          <cell r="CJ238" t="str">
            <v>--</v>
          </cell>
          <cell r="CK238" t="str">
            <v>--</v>
          </cell>
          <cell r="CL238" t="str">
            <v>--</v>
          </cell>
          <cell r="CM238" t="str">
            <v>--</v>
          </cell>
          <cell r="CN238" t="str">
            <v>--</v>
          </cell>
          <cell r="CO238" t="str">
            <v>--</v>
          </cell>
          <cell r="CP238" t="str">
            <v>--</v>
          </cell>
          <cell r="CQ238" t="str">
            <v>--</v>
          </cell>
          <cell r="CR238" t="str">
            <v>--</v>
          </cell>
          <cell r="CS238" t="str">
            <v>--</v>
          </cell>
          <cell r="CT238" t="str">
            <v>--</v>
          </cell>
          <cell r="CU238" t="str">
            <v>--</v>
          </cell>
          <cell r="CV238" t="str">
            <v>--</v>
          </cell>
          <cell r="CW238" t="str">
            <v>--</v>
          </cell>
          <cell r="CX238" t="str">
            <v>--</v>
          </cell>
          <cell r="CY238" t="str">
            <v>--</v>
          </cell>
          <cell r="CZ238" t="str">
            <v>--</v>
          </cell>
          <cell r="DA238" t="str">
            <v>--</v>
          </cell>
          <cell r="DB238" t="str">
            <v>--</v>
          </cell>
          <cell r="DC238" t="str">
            <v>--</v>
          </cell>
          <cell r="DD238" t="str">
            <v>--</v>
          </cell>
          <cell r="DE238" t="str">
            <v>--</v>
          </cell>
          <cell r="DF238" t="str">
            <v>--</v>
          </cell>
          <cell r="DG238" t="str">
            <v>--</v>
          </cell>
          <cell r="DH238" t="str">
            <v>--</v>
          </cell>
          <cell r="DI238" t="str">
            <v>--</v>
          </cell>
          <cell r="DJ238" t="str">
            <v>--</v>
          </cell>
          <cell r="DK238" t="str">
            <v>--</v>
          </cell>
          <cell r="DL238" t="str">
            <v>--</v>
          </cell>
          <cell r="DM238" t="str">
            <v>--</v>
          </cell>
          <cell r="DN238" t="str">
            <v>--</v>
          </cell>
          <cell r="DO238" t="str">
            <v>--</v>
          </cell>
          <cell r="DP238" t="str">
            <v>--</v>
          </cell>
          <cell r="DQ238" t="str">
            <v>--</v>
          </cell>
          <cell r="DR238" t="str">
            <v>--</v>
          </cell>
          <cell r="DS238" t="str">
            <v>--</v>
          </cell>
          <cell r="DT238" t="str">
            <v>--</v>
          </cell>
          <cell r="DU238" t="str">
            <v>--</v>
          </cell>
          <cell r="DV238" t="str">
            <v>--</v>
          </cell>
          <cell r="DW238" t="str">
            <v>--</v>
          </cell>
          <cell r="DX238" t="str">
            <v>--</v>
          </cell>
          <cell r="DY238" t="str">
            <v>--</v>
          </cell>
          <cell r="DZ238" t="str">
            <v>--</v>
          </cell>
          <cell r="EA238" t="str">
            <v>--</v>
          </cell>
          <cell r="EB238" t="str">
            <v>--</v>
          </cell>
          <cell r="EC238" t="str">
            <v>--</v>
          </cell>
          <cell r="ED238" t="str">
            <v>--</v>
          </cell>
          <cell r="EE238" t="str">
            <v>--</v>
          </cell>
          <cell r="EF238" t="str">
            <v>--</v>
          </cell>
          <cell r="EG238" t="str">
            <v>--</v>
          </cell>
        </row>
        <row r="239">
          <cell r="A239" t="str">
            <v>02010115Amer. Ind. or Alaska Nat.</v>
          </cell>
          <cell r="B239" t="str">
            <v>02010115N</v>
          </cell>
          <cell r="C239" t="str">
            <v>0201</v>
          </cell>
          <cell r="D239" t="str">
            <v>02010115</v>
          </cell>
          <cell r="E239" t="str">
            <v>New Bedford</v>
          </cell>
          <cell r="F239" t="str">
            <v>John Avery Parker</v>
          </cell>
          <cell r="G239" t="str">
            <v>ES</v>
          </cell>
          <cell r="H239" t="str">
            <v>New Bedford - John Avery Parker (02010115)</v>
          </cell>
          <cell r="I239" t="str">
            <v>Amer. Ind. or Alaska Nat.</v>
          </cell>
          <cell r="J239" t="str">
            <v>02010115Amer. Ind. or Alaska Nat.</v>
          </cell>
          <cell r="K239" t="str">
            <v>Level 4</v>
          </cell>
          <cell r="L239" t="str">
            <v>--</v>
          </cell>
          <cell r="M239" t="str">
            <v>--</v>
          </cell>
          <cell r="N239" t="str">
            <v>--</v>
          </cell>
          <cell r="O239" t="str">
            <v>--</v>
          </cell>
          <cell r="P239" t="str">
            <v>--</v>
          </cell>
          <cell r="Q239" t="str">
            <v>--</v>
          </cell>
          <cell r="R239" t="str">
            <v>--</v>
          </cell>
          <cell r="S239" t="str">
            <v>--</v>
          </cell>
          <cell r="T239" t="str">
            <v>--</v>
          </cell>
          <cell r="U239" t="str">
            <v>--</v>
          </cell>
          <cell r="V239" t="str">
            <v>--</v>
          </cell>
          <cell r="W239" t="str">
            <v>--</v>
          </cell>
          <cell r="X239" t="str">
            <v>--</v>
          </cell>
          <cell r="Y239" t="str">
            <v>--</v>
          </cell>
          <cell r="Z239" t="str">
            <v>--</v>
          </cell>
          <cell r="AA239" t="str">
            <v>--</v>
          </cell>
          <cell r="AB239" t="str">
            <v>--</v>
          </cell>
          <cell r="AC239" t="str">
            <v>--</v>
          </cell>
          <cell r="AD239" t="str">
            <v>--</v>
          </cell>
          <cell r="AE239" t="str">
            <v>--</v>
          </cell>
          <cell r="AF239" t="str">
            <v>--</v>
          </cell>
          <cell r="AG239" t="str">
            <v>--</v>
          </cell>
          <cell r="AH239" t="str">
            <v>--</v>
          </cell>
          <cell r="AI239" t="str">
            <v>--</v>
          </cell>
          <cell r="AJ239" t="str">
            <v>--</v>
          </cell>
          <cell r="AK239" t="str">
            <v>--</v>
          </cell>
          <cell r="AL239" t="str">
            <v>--</v>
          </cell>
          <cell r="AM239" t="str">
            <v>--</v>
          </cell>
          <cell r="AN239" t="str">
            <v>--</v>
          </cell>
          <cell r="AO239" t="str">
            <v>--</v>
          </cell>
          <cell r="AP239" t="str">
            <v>--</v>
          </cell>
          <cell r="AQ239" t="str">
            <v>--</v>
          </cell>
          <cell r="AR239" t="str">
            <v>--</v>
          </cell>
          <cell r="AS239" t="str">
            <v>--</v>
          </cell>
          <cell r="AT239" t="str">
            <v>--</v>
          </cell>
          <cell r="AU239" t="str">
            <v>--</v>
          </cell>
          <cell r="AV239" t="str">
            <v>--</v>
          </cell>
          <cell r="AW239" t="str">
            <v>--</v>
          </cell>
          <cell r="AX239" t="str">
            <v>--</v>
          </cell>
          <cell r="AY239" t="str">
            <v>--</v>
          </cell>
          <cell r="AZ239" t="str">
            <v>--</v>
          </cell>
          <cell r="BA239" t="str">
            <v>--</v>
          </cell>
          <cell r="BB239" t="str">
            <v>--</v>
          </cell>
          <cell r="BC239" t="str">
            <v>--</v>
          </cell>
          <cell r="BD239" t="str">
            <v>--</v>
          </cell>
          <cell r="BE239" t="str">
            <v>--</v>
          </cell>
          <cell r="BF239" t="str">
            <v>--</v>
          </cell>
          <cell r="BG239" t="str">
            <v>--</v>
          </cell>
          <cell r="BH239" t="str">
            <v>--</v>
          </cell>
          <cell r="BI239" t="str">
            <v>--</v>
          </cell>
          <cell r="BJ239" t="str">
            <v>--</v>
          </cell>
          <cell r="BK239" t="str">
            <v>--</v>
          </cell>
          <cell r="BL239" t="str">
            <v>--</v>
          </cell>
          <cell r="BM239" t="str">
            <v>--</v>
          </cell>
          <cell r="BN239" t="str">
            <v>--</v>
          </cell>
          <cell r="BO239" t="str">
            <v>--</v>
          </cell>
          <cell r="BP239" t="str">
            <v>--</v>
          </cell>
          <cell r="BQ239" t="str">
            <v>--</v>
          </cell>
          <cell r="BR239" t="str">
            <v>--</v>
          </cell>
          <cell r="BS239" t="str">
            <v>--</v>
          </cell>
          <cell r="BT239" t="str">
            <v>--</v>
          </cell>
          <cell r="BU239" t="str">
            <v>--</v>
          </cell>
          <cell r="BV239" t="str">
            <v>--</v>
          </cell>
          <cell r="BW239" t="str">
            <v>--</v>
          </cell>
          <cell r="BX239" t="str">
            <v>--</v>
          </cell>
          <cell r="BY239" t="str">
            <v>--</v>
          </cell>
          <cell r="BZ239" t="str">
            <v>--</v>
          </cell>
          <cell r="CA239" t="str">
            <v>--</v>
          </cell>
          <cell r="CB239" t="str">
            <v>--</v>
          </cell>
          <cell r="CC239" t="str">
            <v>--</v>
          </cell>
          <cell r="CD239" t="str">
            <v>--</v>
          </cell>
          <cell r="CE239" t="str">
            <v>--</v>
          </cell>
          <cell r="CF239" t="str">
            <v>--</v>
          </cell>
          <cell r="CG239" t="str">
            <v>--</v>
          </cell>
          <cell r="CH239" t="str">
            <v>--</v>
          </cell>
          <cell r="CI239" t="str">
            <v>--</v>
          </cell>
          <cell r="CJ239" t="str">
            <v>--</v>
          </cell>
          <cell r="CK239" t="str">
            <v>--</v>
          </cell>
          <cell r="CL239" t="str">
            <v>--</v>
          </cell>
          <cell r="CM239" t="str">
            <v>--</v>
          </cell>
          <cell r="CN239" t="str">
            <v>--</v>
          </cell>
          <cell r="CO239" t="str">
            <v>--</v>
          </cell>
          <cell r="CP239" t="str">
            <v>--</v>
          </cell>
          <cell r="CQ239" t="str">
            <v>--</v>
          </cell>
          <cell r="CR239" t="str">
            <v>--</v>
          </cell>
          <cell r="CS239" t="str">
            <v>--</v>
          </cell>
          <cell r="CT239" t="str">
            <v>--</v>
          </cell>
          <cell r="CU239" t="str">
            <v>--</v>
          </cell>
          <cell r="CV239" t="str">
            <v>--</v>
          </cell>
          <cell r="CW239" t="str">
            <v>--</v>
          </cell>
          <cell r="CX239" t="str">
            <v>--</v>
          </cell>
          <cell r="CY239" t="str">
            <v>--</v>
          </cell>
          <cell r="CZ239" t="str">
            <v>--</v>
          </cell>
          <cell r="DA239" t="str">
            <v>--</v>
          </cell>
          <cell r="DB239" t="str">
            <v>--</v>
          </cell>
          <cell r="DC239" t="str">
            <v>--</v>
          </cell>
          <cell r="DD239" t="str">
            <v>--</v>
          </cell>
          <cell r="DE239" t="str">
            <v>--</v>
          </cell>
          <cell r="DF239" t="str">
            <v>--</v>
          </cell>
          <cell r="DG239" t="str">
            <v>--</v>
          </cell>
          <cell r="DH239" t="str">
            <v>--</v>
          </cell>
          <cell r="DI239" t="str">
            <v>--</v>
          </cell>
          <cell r="DJ239" t="str">
            <v>--</v>
          </cell>
          <cell r="DK239" t="str">
            <v>--</v>
          </cell>
          <cell r="DL239" t="str">
            <v>--</v>
          </cell>
          <cell r="DM239" t="str">
            <v>--</v>
          </cell>
          <cell r="DN239" t="str">
            <v>--</v>
          </cell>
          <cell r="DO239" t="str">
            <v>--</v>
          </cell>
          <cell r="DP239" t="str">
            <v>--</v>
          </cell>
          <cell r="DQ239" t="str">
            <v>--</v>
          </cell>
          <cell r="DR239" t="str">
            <v>--</v>
          </cell>
          <cell r="DS239" t="str">
            <v>--</v>
          </cell>
          <cell r="DT239" t="str">
            <v>--</v>
          </cell>
          <cell r="DU239" t="str">
            <v>--</v>
          </cell>
          <cell r="DV239" t="str">
            <v>--</v>
          </cell>
          <cell r="DW239" t="str">
            <v>--</v>
          </cell>
          <cell r="DX239" t="str">
            <v>--</v>
          </cell>
          <cell r="DY239" t="str">
            <v>--</v>
          </cell>
          <cell r="DZ239" t="str">
            <v>--</v>
          </cell>
          <cell r="EA239" t="str">
            <v>--</v>
          </cell>
          <cell r="EB239" t="str">
            <v>--</v>
          </cell>
          <cell r="EC239" t="str">
            <v>--</v>
          </cell>
          <cell r="ED239" t="str">
            <v>--</v>
          </cell>
          <cell r="EE239" t="str">
            <v>--</v>
          </cell>
          <cell r="EF239" t="str">
            <v>--</v>
          </cell>
          <cell r="EG239" t="str">
            <v>--</v>
          </cell>
        </row>
        <row r="240">
          <cell r="A240" t="str">
            <v>02010115Nat. Haw. or Pacif. Isl.</v>
          </cell>
          <cell r="B240" t="str">
            <v>02010115P</v>
          </cell>
          <cell r="C240" t="str">
            <v>0201</v>
          </cell>
          <cell r="D240" t="str">
            <v>02010115</v>
          </cell>
          <cell r="E240" t="str">
            <v>New Bedford</v>
          </cell>
          <cell r="F240" t="str">
            <v>John Avery Parker</v>
          </cell>
          <cell r="G240" t="str">
            <v>ES</v>
          </cell>
          <cell r="H240" t="str">
            <v>New Bedford - John Avery Parker (02010115)</v>
          </cell>
          <cell r="I240" t="str">
            <v>Nat. Haw. or Pacif. Isl.</v>
          </cell>
          <cell r="J240" t="str">
            <v>02010115Nat. Haw. or Pacif. Isl.</v>
          </cell>
          <cell r="K240" t="str">
            <v>Level 4</v>
          </cell>
          <cell r="L240" t="str">
            <v>--</v>
          </cell>
          <cell r="M240" t="str">
            <v>--</v>
          </cell>
          <cell r="N240" t="str">
            <v>--</v>
          </cell>
          <cell r="O240" t="str">
            <v>--</v>
          </cell>
          <cell r="P240" t="str">
            <v>--</v>
          </cell>
          <cell r="Q240" t="str">
            <v>--</v>
          </cell>
          <cell r="R240" t="str">
            <v>--</v>
          </cell>
          <cell r="S240" t="str">
            <v>--</v>
          </cell>
          <cell r="T240" t="str">
            <v>--</v>
          </cell>
          <cell r="U240" t="str">
            <v>--</v>
          </cell>
          <cell r="V240" t="str">
            <v>--</v>
          </cell>
          <cell r="W240" t="str">
            <v>--</v>
          </cell>
          <cell r="X240" t="str">
            <v>--</v>
          </cell>
          <cell r="Y240" t="str">
            <v>--</v>
          </cell>
          <cell r="Z240" t="str">
            <v>--</v>
          </cell>
          <cell r="AA240" t="str">
            <v>--</v>
          </cell>
          <cell r="AB240" t="str">
            <v>--</v>
          </cell>
          <cell r="AC240" t="str">
            <v>--</v>
          </cell>
          <cell r="AD240" t="str">
            <v>--</v>
          </cell>
          <cell r="AE240" t="str">
            <v>--</v>
          </cell>
          <cell r="AF240" t="str">
            <v>--</v>
          </cell>
          <cell r="AG240" t="str">
            <v>--</v>
          </cell>
          <cell r="AH240" t="str">
            <v>--</v>
          </cell>
          <cell r="AI240" t="str">
            <v>--</v>
          </cell>
          <cell r="AJ240" t="str">
            <v>--</v>
          </cell>
          <cell r="AK240" t="str">
            <v>--</v>
          </cell>
          <cell r="AL240" t="str">
            <v>--</v>
          </cell>
          <cell r="AM240" t="str">
            <v>--</v>
          </cell>
          <cell r="AN240" t="str">
            <v>--</v>
          </cell>
          <cell r="AO240" t="str">
            <v>--</v>
          </cell>
          <cell r="AP240" t="str">
            <v>--</v>
          </cell>
          <cell r="AQ240" t="str">
            <v>--</v>
          </cell>
          <cell r="AR240" t="str">
            <v>--</v>
          </cell>
          <cell r="AS240" t="str">
            <v>--</v>
          </cell>
          <cell r="AT240" t="str">
            <v>--</v>
          </cell>
          <cell r="AU240" t="str">
            <v>--</v>
          </cell>
          <cell r="AV240" t="str">
            <v>--</v>
          </cell>
          <cell r="AW240" t="str">
            <v>--</v>
          </cell>
          <cell r="AX240" t="str">
            <v>--</v>
          </cell>
          <cell r="AY240" t="str">
            <v>--</v>
          </cell>
          <cell r="AZ240" t="str">
            <v>--</v>
          </cell>
          <cell r="BA240" t="str">
            <v>--</v>
          </cell>
          <cell r="BB240" t="str">
            <v>--</v>
          </cell>
          <cell r="BC240" t="str">
            <v>--</v>
          </cell>
          <cell r="BD240" t="str">
            <v>--</v>
          </cell>
          <cell r="BE240" t="str">
            <v>--</v>
          </cell>
          <cell r="BF240" t="str">
            <v>--</v>
          </cell>
          <cell r="BG240" t="str">
            <v>--</v>
          </cell>
          <cell r="BH240" t="str">
            <v>--</v>
          </cell>
          <cell r="BI240" t="str">
            <v>--</v>
          </cell>
          <cell r="BJ240" t="str">
            <v>--</v>
          </cell>
          <cell r="BK240" t="str">
            <v>--</v>
          </cell>
          <cell r="BL240" t="str">
            <v>--</v>
          </cell>
          <cell r="BM240" t="str">
            <v>--</v>
          </cell>
          <cell r="BN240" t="str">
            <v>--</v>
          </cell>
          <cell r="BO240" t="str">
            <v>--</v>
          </cell>
          <cell r="BP240" t="str">
            <v>--</v>
          </cell>
          <cell r="BQ240" t="str">
            <v>--</v>
          </cell>
          <cell r="BR240" t="str">
            <v>--</v>
          </cell>
          <cell r="BS240" t="str">
            <v>--</v>
          </cell>
          <cell r="BT240" t="str">
            <v>--</v>
          </cell>
          <cell r="BU240" t="str">
            <v>--</v>
          </cell>
          <cell r="BV240" t="str">
            <v>--</v>
          </cell>
          <cell r="BW240" t="str">
            <v>--</v>
          </cell>
          <cell r="BX240" t="str">
            <v>--</v>
          </cell>
          <cell r="BY240" t="str">
            <v>--</v>
          </cell>
          <cell r="BZ240" t="str">
            <v>--</v>
          </cell>
          <cell r="CA240" t="str">
            <v>--</v>
          </cell>
          <cell r="CB240" t="str">
            <v>--</v>
          </cell>
          <cell r="CC240" t="str">
            <v>--</v>
          </cell>
          <cell r="CD240" t="str">
            <v>--</v>
          </cell>
          <cell r="CE240" t="str">
            <v>--</v>
          </cell>
          <cell r="CF240" t="str">
            <v>--</v>
          </cell>
          <cell r="CG240" t="str">
            <v>--</v>
          </cell>
          <cell r="CH240" t="str">
            <v>--</v>
          </cell>
          <cell r="CI240" t="str">
            <v>--</v>
          </cell>
          <cell r="CJ240" t="str">
            <v>--</v>
          </cell>
          <cell r="CK240" t="str">
            <v>--</v>
          </cell>
          <cell r="CL240" t="str">
            <v>--</v>
          </cell>
          <cell r="CM240" t="str">
            <v>--</v>
          </cell>
          <cell r="CN240" t="str">
            <v>--</v>
          </cell>
          <cell r="CO240" t="str">
            <v>--</v>
          </cell>
          <cell r="CP240" t="str">
            <v>--</v>
          </cell>
          <cell r="CQ240" t="str">
            <v>--</v>
          </cell>
          <cell r="CR240" t="str">
            <v>--</v>
          </cell>
          <cell r="CS240" t="str">
            <v>--</v>
          </cell>
          <cell r="CT240" t="str">
            <v>--</v>
          </cell>
          <cell r="CU240" t="str">
            <v>--</v>
          </cell>
          <cell r="CV240" t="str">
            <v>--</v>
          </cell>
          <cell r="CW240" t="str">
            <v>--</v>
          </cell>
          <cell r="CX240" t="str">
            <v>--</v>
          </cell>
          <cell r="CY240" t="str">
            <v>--</v>
          </cell>
          <cell r="CZ240" t="str">
            <v>--</v>
          </cell>
          <cell r="DA240" t="str">
            <v>--</v>
          </cell>
          <cell r="DB240" t="str">
            <v>--</v>
          </cell>
          <cell r="DC240" t="str">
            <v>--</v>
          </cell>
          <cell r="DD240" t="str">
            <v>--</v>
          </cell>
          <cell r="DE240" t="str">
            <v>--</v>
          </cell>
          <cell r="DF240" t="str">
            <v>--</v>
          </cell>
          <cell r="DG240" t="str">
            <v>--</v>
          </cell>
          <cell r="DH240" t="str">
            <v>--</v>
          </cell>
          <cell r="DI240" t="str">
            <v>--</v>
          </cell>
          <cell r="DJ240" t="str">
            <v>--</v>
          </cell>
          <cell r="DK240" t="str">
            <v>--</v>
          </cell>
          <cell r="DL240" t="str">
            <v>--</v>
          </cell>
          <cell r="DM240" t="str">
            <v>--</v>
          </cell>
          <cell r="DN240" t="str">
            <v>--</v>
          </cell>
          <cell r="DO240" t="str">
            <v>--</v>
          </cell>
          <cell r="DP240" t="str">
            <v>--</v>
          </cell>
          <cell r="DQ240" t="str">
            <v>--</v>
          </cell>
          <cell r="DR240" t="str">
            <v>--</v>
          </cell>
          <cell r="DS240" t="str">
            <v>--</v>
          </cell>
          <cell r="DT240" t="str">
            <v>--</v>
          </cell>
          <cell r="DU240" t="str">
            <v>--</v>
          </cell>
          <cell r="DV240" t="str">
            <v>--</v>
          </cell>
          <cell r="DW240" t="str">
            <v>--</v>
          </cell>
          <cell r="DX240" t="str">
            <v>--</v>
          </cell>
          <cell r="DY240" t="str">
            <v>--</v>
          </cell>
          <cell r="DZ240" t="str">
            <v>--</v>
          </cell>
          <cell r="EA240" t="str">
            <v>--</v>
          </cell>
          <cell r="EB240" t="str">
            <v>--</v>
          </cell>
          <cell r="EC240" t="str">
            <v>--</v>
          </cell>
          <cell r="ED240" t="str">
            <v>--</v>
          </cell>
          <cell r="EE240" t="str">
            <v>--</v>
          </cell>
          <cell r="EF240" t="str">
            <v>--</v>
          </cell>
          <cell r="EG240" t="str">
            <v>--</v>
          </cell>
        </row>
        <row r="241">
          <cell r="A241" t="str">
            <v>02010115High needs</v>
          </cell>
          <cell r="B241" t="str">
            <v>02010115S</v>
          </cell>
          <cell r="C241" t="str">
            <v>0201</v>
          </cell>
          <cell r="D241" t="str">
            <v>02010115</v>
          </cell>
          <cell r="E241" t="str">
            <v>New Bedford</v>
          </cell>
          <cell r="F241" t="str">
            <v>John Avery Parker</v>
          </cell>
          <cell r="G241" t="str">
            <v>ES</v>
          </cell>
          <cell r="H241" t="str">
            <v>New Bedford - John Avery Parker (02010115)</v>
          </cell>
          <cell r="I241" t="str">
            <v>High needs</v>
          </cell>
          <cell r="J241" t="str">
            <v>02010115High needs</v>
          </cell>
          <cell r="K241" t="str">
            <v>Level 4</v>
          </cell>
          <cell r="L241">
            <v>66.2</v>
          </cell>
          <cell r="M241">
            <v>69</v>
          </cell>
          <cell r="N241">
            <v>67.8</v>
          </cell>
          <cell r="O241">
            <v>71.8</v>
          </cell>
          <cell r="P241">
            <v>68.900000000000006</v>
          </cell>
          <cell r="Q241">
            <v>74.7</v>
          </cell>
          <cell r="R241">
            <v>77.5</v>
          </cell>
          <cell r="S241">
            <v>80.3</v>
          </cell>
          <cell r="T241">
            <v>83.1</v>
          </cell>
          <cell r="U241">
            <v>67.900000000000006</v>
          </cell>
          <cell r="V241">
            <v>70.599999999999994</v>
          </cell>
          <cell r="W241">
            <v>67.5</v>
          </cell>
          <cell r="X241">
            <v>73.3</v>
          </cell>
          <cell r="Y241">
            <v>75.2</v>
          </cell>
          <cell r="Z241">
            <v>75.900000000000006</v>
          </cell>
          <cell r="AA241">
            <v>78.599999999999994</v>
          </cell>
          <cell r="AB241">
            <v>81.3</v>
          </cell>
          <cell r="AC241">
            <v>84</v>
          </cell>
          <cell r="AD241">
            <v>58.7</v>
          </cell>
          <cell r="AE241">
            <v>62.1</v>
          </cell>
          <cell r="AF241">
            <v>64.099999999999994</v>
          </cell>
          <cell r="AG241">
            <v>65.599999999999994</v>
          </cell>
          <cell r="AH241">
            <v>73.599999999999994</v>
          </cell>
          <cell r="AI241">
            <v>69</v>
          </cell>
          <cell r="AJ241">
            <v>72.5</v>
          </cell>
          <cell r="AK241">
            <v>75.900000000000006</v>
          </cell>
          <cell r="AL241">
            <v>79.400000000000006</v>
          </cell>
          <cell r="AM241" t="str">
            <v>--</v>
          </cell>
          <cell r="AN241" t="str">
            <v>--</v>
          </cell>
          <cell r="AO241" t="str">
            <v>--</v>
          </cell>
          <cell r="AP241" t="str">
            <v>--</v>
          </cell>
          <cell r="AQ241" t="str">
            <v>--</v>
          </cell>
          <cell r="AR241" t="str">
            <v>--</v>
          </cell>
          <cell r="AS241" t="str">
            <v>--</v>
          </cell>
          <cell r="AT241" t="str">
            <v>--</v>
          </cell>
          <cell r="AU241" t="str">
            <v>--</v>
          </cell>
          <cell r="AV241" t="str">
            <v>--</v>
          </cell>
          <cell r="AW241" t="str">
            <v>--</v>
          </cell>
          <cell r="AX241" t="str">
            <v>--</v>
          </cell>
          <cell r="AY241" t="str">
            <v>--</v>
          </cell>
          <cell r="AZ241" t="str">
            <v>--</v>
          </cell>
          <cell r="BA241" t="str">
            <v>--</v>
          </cell>
          <cell r="BB241" t="str">
            <v>--</v>
          </cell>
          <cell r="BC241" t="str">
            <v>--</v>
          </cell>
          <cell r="BD241" t="str">
            <v>--</v>
          </cell>
          <cell r="BE241" t="str">
            <v>--</v>
          </cell>
          <cell r="BF241" t="str">
            <v>--</v>
          </cell>
          <cell r="BG241" t="str">
            <v>--</v>
          </cell>
          <cell r="BH241" t="str">
            <v>--</v>
          </cell>
          <cell r="BI241" t="str">
            <v>--</v>
          </cell>
          <cell r="BJ241" t="str">
            <v>--</v>
          </cell>
          <cell r="BK241" t="str">
            <v>--</v>
          </cell>
          <cell r="BL241" t="str">
            <v>--</v>
          </cell>
          <cell r="BM241" t="str">
            <v>--</v>
          </cell>
          <cell r="BN241">
            <v>40</v>
          </cell>
          <cell r="BO241">
            <v>50</v>
          </cell>
          <cell r="BP241">
            <v>48.5</v>
          </cell>
          <cell r="BQ241">
            <v>51</v>
          </cell>
          <cell r="BR241">
            <v>51.5</v>
          </cell>
          <cell r="BS241">
            <v>51</v>
          </cell>
          <cell r="BT241">
            <v>51</v>
          </cell>
          <cell r="BU241">
            <v>51</v>
          </cell>
          <cell r="BV241">
            <v>51</v>
          </cell>
          <cell r="BW241">
            <v>41</v>
          </cell>
          <cell r="BX241">
            <v>51</v>
          </cell>
          <cell r="BY241">
            <v>59</v>
          </cell>
          <cell r="BZ241">
            <v>51</v>
          </cell>
          <cell r="CA241">
            <v>61</v>
          </cell>
          <cell r="CB241">
            <v>51</v>
          </cell>
          <cell r="CC241">
            <v>51</v>
          </cell>
          <cell r="CD241">
            <v>51</v>
          </cell>
          <cell r="CE241">
            <v>51</v>
          </cell>
          <cell r="CF241">
            <v>15.2</v>
          </cell>
          <cell r="CG241">
            <v>13.7</v>
          </cell>
          <cell r="CH241">
            <v>16.8</v>
          </cell>
          <cell r="CI241">
            <v>15.1</v>
          </cell>
          <cell r="CJ241">
            <v>17</v>
          </cell>
          <cell r="CK241">
            <v>15.3</v>
          </cell>
          <cell r="CL241">
            <v>13.8</v>
          </cell>
          <cell r="CM241">
            <v>12.4</v>
          </cell>
          <cell r="CN241">
            <v>11.2</v>
          </cell>
          <cell r="CO241">
            <v>18.2</v>
          </cell>
          <cell r="CP241">
            <v>16.399999999999999</v>
          </cell>
          <cell r="CQ241">
            <v>18.899999999999999</v>
          </cell>
          <cell r="CR241">
            <v>17</v>
          </cell>
          <cell r="CS241">
            <v>11.4</v>
          </cell>
          <cell r="CT241">
            <v>10.3</v>
          </cell>
          <cell r="CU241">
            <v>9.1999999999999993</v>
          </cell>
          <cell r="CV241">
            <v>8.3000000000000007</v>
          </cell>
          <cell r="CW241">
            <v>7.5</v>
          </cell>
          <cell r="CX241">
            <v>30.8</v>
          </cell>
          <cell r="CY241">
            <v>27.7</v>
          </cell>
          <cell r="CZ241">
            <v>21.7</v>
          </cell>
          <cell r="DA241">
            <v>19.5</v>
          </cell>
          <cell r="DB241">
            <v>11.4</v>
          </cell>
          <cell r="DC241">
            <v>10.3</v>
          </cell>
          <cell r="DD241">
            <v>9.1999999999999993</v>
          </cell>
          <cell r="DE241">
            <v>8.3000000000000007</v>
          </cell>
          <cell r="DF241">
            <v>7.5</v>
          </cell>
          <cell r="DG241">
            <v>1</v>
          </cell>
          <cell r="DH241">
            <v>1.1000000000000001</v>
          </cell>
          <cell r="DI241">
            <v>1.9</v>
          </cell>
          <cell r="DJ241">
            <v>2.1</v>
          </cell>
          <cell r="DK241">
            <v>1.9</v>
          </cell>
          <cell r="DL241">
            <v>2.1</v>
          </cell>
          <cell r="DM241">
            <v>2.2999999999999998</v>
          </cell>
          <cell r="DN241">
            <v>2.5</v>
          </cell>
          <cell r="DO241">
            <v>2.8</v>
          </cell>
          <cell r="DP241">
            <v>4</v>
          </cell>
          <cell r="DQ241">
            <v>4.4000000000000004</v>
          </cell>
          <cell r="DR241">
            <v>9.4</v>
          </cell>
          <cell r="DS241">
            <v>10.3</v>
          </cell>
          <cell r="DT241">
            <v>16.2</v>
          </cell>
          <cell r="DU241">
            <v>17.8</v>
          </cell>
          <cell r="DV241">
            <v>19.600000000000001</v>
          </cell>
          <cell r="DW241">
            <v>21.6</v>
          </cell>
          <cell r="DX241">
            <v>23.7</v>
          </cell>
          <cell r="DY241">
            <v>3.8</v>
          </cell>
          <cell r="DZ241">
            <v>4.2</v>
          </cell>
          <cell r="EA241">
            <v>0</v>
          </cell>
          <cell r="EB241">
            <v>1</v>
          </cell>
          <cell r="EC241">
            <v>8.6</v>
          </cell>
          <cell r="ED241">
            <v>9.5</v>
          </cell>
          <cell r="EE241">
            <v>10.4</v>
          </cell>
          <cell r="EF241">
            <v>11.4</v>
          </cell>
          <cell r="EG241">
            <v>12.6</v>
          </cell>
        </row>
        <row r="242">
          <cell r="A242" t="str">
            <v>02010115All students</v>
          </cell>
          <cell r="B242" t="str">
            <v>02010115T</v>
          </cell>
          <cell r="C242" t="str">
            <v>0201</v>
          </cell>
          <cell r="D242" t="str">
            <v>02010115</v>
          </cell>
          <cell r="E242" t="str">
            <v>New Bedford</v>
          </cell>
          <cell r="F242" t="str">
            <v>John Avery Parker</v>
          </cell>
          <cell r="G242" t="str">
            <v>ES</v>
          </cell>
          <cell r="H242" t="str">
            <v>New Bedford - John Avery Parker (02010115)</v>
          </cell>
          <cell r="I242" t="str">
            <v>All students</v>
          </cell>
          <cell r="J242" t="str">
            <v>02010115All students</v>
          </cell>
          <cell r="K242" t="str">
            <v>Level 4</v>
          </cell>
          <cell r="L242">
            <v>67.7</v>
          </cell>
          <cell r="M242">
            <v>70.400000000000006</v>
          </cell>
          <cell r="N242">
            <v>68.8</v>
          </cell>
          <cell r="O242">
            <v>73.099999999999994</v>
          </cell>
          <cell r="P242">
            <v>69.3</v>
          </cell>
          <cell r="Q242">
            <v>75.8</v>
          </cell>
          <cell r="R242">
            <v>78.5</v>
          </cell>
          <cell r="S242">
            <v>81.2</v>
          </cell>
          <cell r="T242">
            <v>83.9</v>
          </cell>
          <cell r="U242">
            <v>70</v>
          </cell>
          <cell r="V242">
            <v>72.5</v>
          </cell>
          <cell r="W242">
            <v>68.8</v>
          </cell>
          <cell r="X242">
            <v>75</v>
          </cell>
          <cell r="Y242">
            <v>75</v>
          </cell>
          <cell r="Z242">
            <v>77.5</v>
          </cell>
          <cell r="AA242">
            <v>80</v>
          </cell>
          <cell r="AB242">
            <v>82.5</v>
          </cell>
          <cell r="AC242">
            <v>85</v>
          </cell>
          <cell r="AD242">
            <v>58.3</v>
          </cell>
          <cell r="AE242">
            <v>61.8</v>
          </cell>
          <cell r="AF242">
            <v>66</v>
          </cell>
          <cell r="AG242">
            <v>65.3</v>
          </cell>
          <cell r="AH242">
            <v>73</v>
          </cell>
          <cell r="AI242">
            <v>68.7</v>
          </cell>
          <cell r="AJ242">
            <v>72.2</v>
          </cell>
          <cell r="AK242">
            <v>75.7</v>
          </cell>
          <cell r="AL242">
            <v>79.2</v>
          </cell>
          <cell r="AM242" t="str">
            <v>--</v>
          </cell>
          <cell r="AN242" t="str">
            <v>--</v>
          </cell>
          <cell r="AO242" t="str">
            <v>--</v>
          </cell>
          <cell r="AP242" t="str">
            <v>--</v>
          </cell>
          <cell r="AQ242" t="str">
            <v>--</v>
          </cell>
          <cell r="AR242" t="str">
            <v>--</v>
          </cell>
          <cell r="AS242" t="str">
            <v>--</v>
          </cell>
          <cell r="AT242" t="str">
            <v>--</v>
          </cell>
          <cell r="AU242" t="str">
            <v>--</v>
          </cell>
          <cell r="AV242" t="str">
            <v>--</v>
          </cell>
          <cell r="AW242" t="str">
            <v>--</v>
          </cell>
          <cell r="AX242" t="str">
            <v>--</v>
          </cell>
          <cell r="AY242" t="str">
            <v>--</v>
          </cell>
          <cell r="AZ242" t="str">
            <v>--</v>
          </cell>
          <cell r="BA242" t="str">
            <v>--</v>
          </cell>
          <cell r="BB242" t="str">
            <v>--</v>
          </cell>
          <cell r="BC242" t="str">
            <v>--</v>
          </cell>
          <cell r="BD242" t="str">
            <v>--</v>
          </cell>
          <cell r="BE242" t="str">
            <v>--</v>
          </cell>
          <cell r="BF242" t="str">
            <v>--</v>
          </cell>
          <cell r="BG242" t="str">
            <v>--</v>
          </cell>
          <cell r="BH242" t="str">
            <v>--</v>
          </cell>
          <cell r="BI242" t="str">
            <v>--</v>
          </cell>
          <cell r="BJ242" t="str">
            <v>--</v>
          </cell>
          <cell r="BK242" t="str">
            <v>--</v>
          </cell>
          <cell r="BL242" t="str">
            <v>--</v>
          </cell>
          <cell r="BM242" t="str">
            <v>--</v>
          </cell>
          <cell r="BN242">
            <v>40</v>
          </cell>
          <cell r="BO242">
            <v>50</v>
          </cell>
          <cell r="BP242">
            <v>52</v>
          </cell>
          <cell r="BQ242">
            <v>51</v>
          </cell>
          <cell r="BR242">
            <v>50</v>
          </cell>
          <cell r="BS242">
            <v>51</v>
          </cell>
          <cell r="BT242">
            <v>51</v>
          </cell>
          <cell r="BU242">
            <v>51</v>
          </cell>
          <cell r="BV242">
            <v>51</v>
          </cell>
          <cell r="BW242">
            <v>39</v>
          </cell>
          <cell r="BX242">
            <v>49</v>
          </cell>
          <cell r="BY242">
            <v>58.5</v>
          </cell>
          <cell r="BZ242">
            <v>51</v>
          </cell>
          <cell r="CA242">
            <v>60</v>
          </cell>
          <cell r="CB242">
            <v>51</v>
          </cell>
          <cell r="CC242">
            <v>51</v>
          </cell>
          <cell r="CD242">
            <v>51</v>
          </cell>
          <cell r="CE242">
            <v>51</v>
          </cell>
          <cell r="CF242">
            <v>14.5</v>
          </cell>
          <cell r="CG242">
            <v>13.1</v>
          </cell>
          <cell r="CH242">
            <v>16.8</v>
          </cell>
          <cell r="CI242">
            <v>15.1</v>
          </cell>
          <cell r="CJ242">
            <v>16.5</v>
          </cell>
          <cell r="CK242">
            <v>14.9</v>
          </cell>
          <cell r="CL242">
            <v>13.4</v>
          </cell>
          <cell r="CM242">
            <v>12</v>
          </cell>
          <cell r="CN242">
            <v>10.8</v>
          </cell>
          <cell r="CO242">
            <v>16.399999999999999</v>
          </cell>
          <cell r="CP242">
            <v>14.8</v>
          </cell>
          <cell r="CQ242">
            <v>17.899999999999999</v>
          </cell>
          <cell r="CR242">
            <v>16.100000000000001</v>
          </cell>
          <cell r="CS242">
            <v>11.4</v>
          </cell>
          <cell r="CT242">
            <v>10.3</v>
          </cell>
          <cell r="CU242">
            <v>9.1999999999999993</v>
          </cell>
          <cell r="CV242">
            <v>8.3000000000000007</v>
          </cell>
          <cell r="CW242">
            <v>7.5</v>
          </cell>
          <cell r="CX242">
            <v>29.6</v>
          </cell>
          <cell r="CY242">
            <v>26.6</v>
          </cell>
          <cell r="CZ242">
            <v>20</v>
          </cell>
          <cell r="DA242">
            <v>18</v>
          </cell>
          <cell r="DB242">
            <v>13.2</v>
          </cell>
          <cell r="DC242">
            <v>11.9</v>
          </cell>
          <cell r="DD242">
            <v>10.7</v>
          </cell>
          <cell r="DE242">
            <v>9.6</v>
          </cell>
          <cell r="DF242">
            <v>8.6999999999999993</v>
          </cell>
          <cell r="DG242">
            <v>2.7</v>
          </cell>
          <cell r="DH242">
            <v>3</v>
          </cell>
          <cell r="DI242">
            <v>2.7</v>
          </cell>
          <cell r="DJ242">
            <v>3</v>
          </cell>
          <cell r="DK242">
            <v>1.7</v>
          </cell>
          <cell r="DL242">
            <v>1.9</v>
          </cell>
          <cell r="DM242">
            <v>2.1</v>
          </cell>
          <cell r="DN242">
            <v>2.2999999999999998</v>
          </cell>
          <cell r="DO242">
            <v>2.5</v>
          </cell>
          <cell r="DP242">
            <v>5.5</v>
          </cell>
          <cell r="DQ242">
            <v>6.1</v>
          </cell>
          <cell r="DR242">
            <v>11.6</v>
          </cell>
          <cell r="DS242">
            <v>12.8</v>
          </cell>
          <cell r="DT242">
            <v>17.5</v>
          </cell>
          <cell r="DU242">
            <v>19.3</v>
          </cell>
          <cell r="DV242">
            <v>21.2</v>
          </cell>
          <cell r="DW242">
            <v>23.3</v>
          </cell>
          <cell r="DX242">
            <v>25.6</v>
          </cell>
          <cell r="DY242">
            <v>3.7</v>
          </cell>
          <cell r="DZ242">
            <v>4.0999999999999996</v>
          </cell>
          <cell r="EA242">
            <v>4</v>
          </cell>
          <cell r="EB242">
            <v>4.4000000000000004</v>
          </cell>
          <cell r="EC242">
            <v>7.9</v>
          </cell>
          <cell r="ED242">
            <v>8.6999999999999993</v>
          </cell>
          <cell r="EE242">
            <v>9.6</v>
          </cell>
          <cell r="EF242">
            <v>10.5</v>
          </cell>
          <cell r="EG242">
            <v>11.6</v>
          </cell>
        </row>
        <row r="243">
          <cell r="A243" t="str">
            <v>02010505Asian</v>
          </cell>
          <cell r="B243" t="str">
            <v>02010505A</v>
          </cell>
          <cell r="C243" t="str">
            <v>0201</v>
          </cell>
          <cell r="D243" t="str">
            <v>02010505</v>
          </cell>
          <cell r="E243" t="str">
            <v>New Bedford</v>
          </cell>
          <cell r="F243" t="str">
            <v>New Bedford High</v>
          </cell>
          <cell r="G243" t="str">
            <v>HS</v>
          </cell>
          <cell r="H243" t="str">
            <v>New Bedford - New Bedford High (02010505)</v>
          </cell>
          <cell r="I243" t="str">
            <v>Asian</v>
          </cell>
          <cell r="J243" t="str">
            <v>02010505Asian</v>
          </cell>
          <cell r="K243" t="str">
            <v>--</v>
          </cell>
          <cell r="L243" t="str">
            <v>--</v>
          </cell>
          <cell r="M243" t="str">
            <v>--</v>
          </cell>
          <cell r="N243" t="str">
            <v>--</v>
          </cell>
          <cell r="O243" t="str">
            <v>--</v>
          </cell>
          <cell r="P243" t="str">
            <v>--</v>
          </cell>
          <cell r="Q243" t="str">
            <v>--</v>
          </cell>
          <cell r="R243" t="str">
            <v>--</v>
          </cell>
          <cell r="S243" t="str">
            <v>--</v>
          </cell>
          <cell r="T243" t="str">
            <v>--</v>
          </cell>
          <cell r="U243" t="str">
            <v>--</v>
          </cell>
          <cell r="V243" t="str">
            <v>--</v>
          </cell>
          <cell r="W243" t="str">
            <v>--</v>
          </cell>
          <cell r="X243" t="str">
            <v>--</v>
          </cell>
          <cell r="Y243" t="str">
            <v>--</v>
          </cell>
          <cell r="Z243" t="str">
            <v>--</v>
          </cell>
          <cell r="AA243" t="str">
            <v>--</v>
          </cell>
          <cell r="AB243" t="str">
            <v>--</v>
          </cell>
          <cell r="AC243" t="str">
            <v>--</v>
          </cell>
          <cell r="AD243" t="str">
            <v>--</v>
          </cell>
          <cell r="AE243" t="str">
            <v>--</v>
          </cell>
          <cell r="AF243" t="str">
            <v>--</v>
          </cell>
          <cell r="AG243" t="str">
            <v>--</v>
          </cell>
          <cell r="AH243" t="str">
            <v>--</v>
          </cell>
          <cell r="AI243" t="str">
            <v>--</v>
          </cell>
          <cell r="AJ243" t="str">
            <v>--</v>
          </cell>
          <cell r="AK243" t="str">
            <v>--</v>
          </cell>
          <cell r="AL243" t="str">
            <v>--</v>
          </cell>
          <cell r="AM243" t="str">
            <v>--</v>
          </cell>
          <cell r="AN243" t="str">
            <v>--</v>
          </cell>
          <cell r="AO243" t="str">
            <v>--</v>
          </cell>
          <cell r="AP243" t="str">
            <v>--</v>
          </cell>
          <cell r="AQ243" t="str">
            <v>--</v>
          </cell>
          <cell r="AR243" t="str">
            <v>--</v>
          </cell>
          <cell r="AS243" t="str">
            <v>--</v>
          </cell>
          <cell r="AT243" t="str">
            <v>--</v>
          </cell>
          <cell r="AU243" t="str">
            <v>--</v>
          </cell>
          <cell r="AV243" t="str">
            <v>--</v>
          </cell>
          <cell r="AW243" t="str">
            <v>--</v>
          </cell>
          <cell r="AX243" t="str">
            <v>--</v>
          </cell>
          <cell r="AY243" t="str">
            <v>--</v>
          </cell>
          <cell r="AZ243" t="str">
            <v>--</v>
          </cell>
          <cell r="BA243" t="str">
            <v>--</v>
          </cell>
          <cell r="BB243" t="str">
            <v>--</v>
          </cell>
          <cell r="BC243" t="str">
            <v>--</v>
          </cell>
          <cell r="BD243" t="str">
            <v>--</v>
          </cell>
          <cell r="BE243">
            <v>12.8</v>
          </cell>
          <cell r="BF243">
            <v>11.7</v>
          </cell>
          <cell r="BG243">
            <v>11.5</v>
          </cell>
          <cell r="BH243">
            <v>10.7</v>
          </cell>
          <cell r="BI243">
            <v>0</v>
          </cell>
          <cell r="BJ243">
            <v>9.6</v>
          </cell>
          <cell r="BK243">
            <v>8.5</v>
          </cell>
          <cell r="BL243">
            <v>7.5</v>
          </cell>
          <cell r="BM243">
            <v>6.4</v>
          </cell>
          <cell r="BN243" t="str">
            <v>--</v>
          </cell>
          <cell r="BO243" t="str">
            <v>--</v>
          </cell>
          <cell r="BP243" t="str">
            <v>--</v>
          </cell>
          <cell r="BQ243" t="str">
            <v>--</v>
          </cell>
          <cell r="BR243" t="str">
            <v>--</v>
          </cell>
          <cell r="BS243" t="str">
            <v>--</v>
          </cell>
          <cell r="BT243" t="str">
            <v>--</v>
          </cell>
          <cell r="BU243" t="str">
            <v>--</v>
          </cell>
          <cell r="BV243" t="str">
            <v>--</v>
          </cell>
          <cell r="BW243" t="str">
            <v>--</v>
          </cell>
          <cell r="BX243" t="str">
            <v>--</v>
          </cell>
          <cell r="BY243" t="str">
            <v>--</v>
          </cell>
          <cell r="BZ243" t="str">
            <v>--</v>
          </cell>
          <cell r="CA243" t="str">
            <v>--</v>
          </cell>
          <cell r="CB243" t="str">
            <v>--</v>
          </cell>
          <cell r="CC243" t="str">
            <v>--</v>
          </cell>
          <cell r="CD243" t="str">
            <v>--</v>
          </cell>
          <cell r="CE243" t="str">
            <v>--</v>
          </cell>
          <cell r="CF243" t="str">
            <v>--</v>
          </cell>
          <cell r="CG243" t="str">
            <v>--</v>
          </cell>
          <cell r="CH243" t="str">
            <v>--</v>
          </cell>
          <cell r="CI243" t="str">
            <v>--</v>
          </cell>
          <cell r="CJ243" t="str">
            <v>--</v>
          </cell>
          <cell r="CK243" t="str">
            <v>--</v>
          </cell>
          <cell r="CL243" t="str">
            <v>--</v>
          </cell>
          <cell r="CM243" t="str">
            <v>--</v>
          </cell>
          <cell r="CN243" t="str">
            <v>--</v>
          </cell>
          <cell r="CO243" t="str">
            <v>--</v>
          </cell>
          <cell r="CP243" t="str">
            <v>--</v>
          </cell>
          <cell r="CQ243" t="str">
            <v>--</v>
          </cell>
          <cell r="CR243" t="str">
            <v>--</v>
          </cell>
          <cell r="CS243" t="str">
            <v>--</v>
          </cell>
          <cell r="CT243" t="str">
            <v>--</v>
          </cell>
          <cell r="CU243" t="str">
            <v>--</v>
          </cell>
          <cell r="CV243" t="str">
            <v>--</v>
          </cell>
          <cell r="CW243" t="str">
            <v>--</v>
          </cell>
          <cell r="CX243" t="str">
            <v>--</v>
          </cell>
          <cell r="CY243" t="str">
            <v>--</v>
          </cell>
          <cell r="CZ243" t="str">
            <v>--</v>
          </cell>
          <cell r="DA243" t="str">
            <v>--</v>
          </cell>
          <cell r="DB243" t="str">
            <v>--</v>
          </cell>
          <cell r="DC243" t="str">
            <v>--</v>
          </cell>
          <cell r="DD243" t="str">
            <v>--</v>
          </cell>
          <cell r="DE243" t="str">
            <v>--</v>
          </cell>
          <cell r="DF243" t="str">
            <v>--</v>
          </cell>
          <cell r="DG243" t="str">
            <v>--</v>
          </cell>
          <cell r="DH243" t="str">
            <v>--</v>
          </cell>
          <cell r="DI243" t="str">
            <v>--</v>
          </cell>
          <cell r="DJ243" t="str">
            <v>--</v>
          </cell>
          <cell r="DK243" t="str">
            <v>--</v>
          </cell>
          <cell r="DL243" t="str">
            <v>--</v>
          </cell>
          <cell r="DM243" t="str">
            <v>--</v>
          </cell>
          <cell r="DN243" t="str">
            <v>--</v>
          </cell>
          <cell r="DO243" t="str">
            <v>--</v>
          </cell>
          <cell r="DP243" t="str">
            <v>--</v>
          </cell>
          <cell r="DQ243" t="str">
            <v>--</v>
          </cell>
          <cell r="DR243" t="str">
            <v>--</v>
          </cell>
          <cell r="DS243" t="str">
            <v>--</v>
          </cell>
          <cell r="DT243" t="str">
            <v>--</v>
          </cell>
          <cell r="DU243" t="str">
            <v>--</v>
          </cell>
          <cell r="DV243" t="str">
            <v>--</v>
          </cell>
          <cell r="DW243" t="str">
            <v>--</v>
          </cell>
          <cell r="DX243" t="str">
            <v>--</v>
          </cell>
          <cell r="DY243" t="str">
            <v>--</v>
          </cell>
          <cell r="DZ243" t="str">
            <v>--</v>
          </cell>
          <cell r="EA243" t="str">
            <v>--</v>
          </cell>
          <cell r="EB243" t="str">
            <v>--</v>
          </cell>
          <cell r="EC243" t="str">
            <v>--</v>
          </cell>
          <cell r="ED243" t="str">
            <v>--</v>
          </cell>
          <cell r="EE243" t="str">
            <v>--</v>
          </cell>
          <cell r="EF243" t="str">
            <v>--</v>
          </cell>
          <cell r="EG243" t="str">
            <v>--</v>
          </cell>
        </row>
        <row r="244">
          <cell r="A244" t="str">
            <v>02010505Afr. Amer/Black</v>
          </cell>
          <cell r="B244" t="str">
            <v>02010505B</v>
          </cell>
          <cell r="C244" t="str">
            <v>0201</v>
          </cell>
          <cell r="D244" t="str">
            <v>02010505</v>
          </cell>
          <cell r="E244" t="str">
            <v>New Bedford</v>
          </cell>
          <cell r="F244" t="str">
            <v>New Bedford High</v>
          </cell>
          <cell r="G244" t="str">
            <v>HS</v>
          </cell>
          <cell r="H244" t="str">
            <v>New Bedford - New Bedford High (02010505)</v>
          </cell>
          <cell r="I244" t="str">
            <v>Afr. Amer/Black</v>
          </cell>
          <cell r="J244" t="str">
            <v>02010505Afr. Amer/Black</v>
          </cell>
          <cell r="K244" t="str">
            <v>--</v>
          </cell>
          <cell r="L244">
            <v>73.8</v>
          </cell>
          <cell r="M244">
            <v>76</v>
          </cell>
          <cell r="N244">
            <v>84.5</v>
          </cell>
          <cell r="O244">
            <v>78.2</v>
          </cell>
          <cell r="P244">
            <v>83.3</v>
          </cell>
          <cell r="Q244">
            <v>80.400000000000006</v>
          </cell>
          <cell r="R244">
            <v>82.5</v>
          </cell>
          <cell r="S244">
            <v>84.7</v>
          </cell>
          <cell r="T244">
            <v>86.9</v>
          </cell>
          <cell r="U244">
            <v>67.599999999999994</v>
          </cell>
          <cell r="V244">
            <v>70.3</v>
          </cell>
          <cell r="W244">
            <v>66.3</v>
          </cell>
          <cell r="X244">
            <v>73</v>
          </cell>
          <cell r="Y244">
            <v>63.4</v>
          </cell>
          <cell r="Z244">
            <v>75.7</v>
          </cell>
          <cell r="AA244">
            <v>78.400000000000006</v>
          </cell>
          <cell r="AB244">
            <v>81.099999999999994</v>
          </cell>
          <cell r="AC244">
            <v>83.8</v>
          </cell>
          <cell r="AD244">
            <v>59.3</v>
          </cell>
          <cell r="AE244">
            <v>62.7</v>
          </cell>
          <cell r="AF244">
            <v>57.6</v>
          </cell>
          <cell r="AG244">
            <v>66.099999999999994</v>
          </cell>
          <cell r="AH244">
            <v>62.7</v>
          </cell>
          <cell r="AI244">
            <v>69.5</v>
          </cell>
          <cell r="AJ244">
            <v>72.900000000000006</v>
          </cell>
          <cell r="AK244">
            <v>76.3</v>
          </cell>
          <cell r="AL244">
            <v>79.7</v>
          </cell>
          <cell r="AM244">
            <v>54.5</v>
          </cell>
          <cell r="AN244">
            <v>57</v>
          </cell>
          <cell r="AO244">
            <v>56.6</v>
          </cell>
          <cell r="AP244">
            <v>59.1</v>
          </cell>
          <cell r="AQ244">
            <v>53.9</v>
          </cell>
          <cell r="AR244">
            <v>56.4</v>
          </cell>
          <cell r="AS244">
            <v>58.9</v>
          </cell>
          <cell r="AT244">
            <v>61.4</v>
          </cell>
          <cell r="AU244">
            <v>63.9</v>
          </cell>
          <cell r="AV244">
            <v>67</v>
          </cell>
          <cell r="AW244">
            <v>69.5</v>
          </cell>
          <cell r="AX244">
            <v>61</v>
          </cell>
          <cell r="AY244">
            <v>63.5</v>
          </cell>
          <cell r="AZ244">
            <v>61.6</v>
          </cell>
          <cell r="BA244">
            <v>64.099999999999994</v>
          </cell>
          <cell r="BB244">
            <v>66.599999999999994</v>
          </cell>
          <cell r="BC244">
            <v>69.099999999999994</v>
          </cell>
          <cell r="BD244">
            <v>71.599999999999994</v>
          </cell>
          <cell r="BE244">
            <v>6.4</v>
          </cell>
          <cell r="BF244">
            <v>5.9</v>
          </cell>
          <cell r="BG244">
            <v>5.8</v>
          </cell>
          <cell r="BH244">
            <v>5.3</v>
          </cell>
          <cell r="BI244">
            <v>5.3</v>
          </cell>
          <cell r="BJ244">
            <v>4.8</v>
          </cell>
          <cell r="BK244">
            <v>4.3</v>
          </cell>
          <cell r="BL244">
            <v>3.7</v>
          </cell>
          <cell r="BM244">
            <v>3.2</v>
          </cell>
          <cell r="BN244">
            <v>27</v>
          </cell>
          <cell r="BO244">
            <v>37</v>
          </cell>
          <cell r="BP244">
            <v>28</v>
          </cell>
          <cell r="BQ244">
            <v>38</v>
          </cell>
          <cell r="BR244">
            <v>42</v>
          </cell>
          <cell r="BS244">
            <v>51</v>
          </cell>
          <cell r="BT244">
            <v>51</v>
          </cell>
          <cell r="BU244">
            <v>51</v>
          </cell>
          <cell r="BV244">
            <v>51</v>
          </cell>
          <cell r="BW244">
            <v>21</v>
          </cell>
          <cell r="BX244">
            <v>31</v>
          </cell>
          <cell r="BY244">
            <v>14</v>
          </cell>
          <cell r="BZ244">
            <v>24</v>
          </cell>
          <cell r="CA244">
            <v>36</v>
          </cell>
          <cell r="CB244">
            <v>46</v>
          </cell>
          <cell r="CC244">
            <v>51</v>
          </cell>
          <cell r="CD244">
            <v>51</v>
          </cell>
          <cell r="CE244">
            <v>51</v>
          </cell>
          <cell r="CF244">
            <v>12.8</v>
          </cell>
          <cell r="CG244">
            <v>11.5</v>
          </cell>
          <cell r="CH244">
            <v>4.8</v>
          </cell>
          <cell r="CI244">
            <v>4.3</v>
          </cell>
          <cell r="CJ244">
            <v>10.1</v>
          </cell>
          <cell r="CK244">
            <v>9.1</v>
          </cell>
          <cell r="CL244">
            <v>8.1999999999999993</v>
          </cell>
          <cell r="CM244">
            <v>7.4</v>
          </cell>
          <cell r="CN244">
            <v>6.6</v>
          </cell>
          <cell r="CO244">
            <v>20.2</v>
          </cell>
          <cell r="CP244">
            <v>18.2</v>
          </cell>
          <cell r="CQ244">
            <v>27</v>
          </cell>
          <cell r="CR244">
            <v>24.3</v>
          </cell>
          <cell r="CS244">
            <v>32.9</v>
          </cell>
          <cell r="CT244">
            <v>29.6</v>
          </cell>
          <cell r="CU244">
            <v>26.6</v>
          </cell>
          <cell r="CV244">
            <v>24</v>
          </cell>
          <cell r="CW244">
            <v>21.6</v>
          </cell>
          <cell r="CX244">
            <v>29.6</v>
          </cell>
          <cell r="CY244">
            <v>26.6</v>
          </cell>
          <cell r="CZ244">
            <v>23.2</v>
          </cell>
          <cell r="DA244">
            <v>20.9</v>
          </cell>
          <cell r="DB244">
            <v>21.1</v>
          </cell>
          <cell r="DC244">
            <v>19</v>
          </cell>
          <cell r="DD244">
            <v>17.100000000000001</v>
          </cell>
          <cell r="DE244">
            <v>15.4</v>
          </cell>
          <cell r="DF244">
            <v>13.8</v>
          </cell>
          <cell r="DG244">
            <v>2.2999999999999998</v>
          </cell>
          <cell r="DH244">
            <v>2.5</v>
          </cell>
          <cell r="DI244">
            <v>1.6</v>
          </cell>
          <cell r="DJ244">
            <v>1.8</v>
          </cell>
          <cell r="DK244">
            <v>8.6999999999999993</v>
          </cell>
          <cell r="DL244">
            <v>9.6</v>
          </cell>
          <cell r="DM244">
            <v>10.5</v>
          </cell>
          <cell r="DN244">
            <v>11.6</v>
          </cell>
          <cell r="DO244">
            <v>12.7</v>
          </cell>
          <cell r="DP244">
            <v>9.5</v>
          </cell>
          <cell r="DQ244">
            <v>10.5</v>
          </cell>
          <cell r="DR244">
            <v>9.5</v>
          </cell>
          <cell r="DS244">
            <v>10.5</v>
          </cell>
          <cell r="DT244">
            <v>11</v>
          </cell>
          <cell r="DU244">
            <v>12.1</v>
          </cell>
          <cell r="DV244">
            <v>13.3</v>
          </cell>
          <cell r="DW244">
            <v>14.6</v>
          </cell>
          <cell r="DX244">
            <v>16.100000000000001</v>
          </cell>
          <cell r="DY244">
            <v>2.5</v>
          </cell>
          <cell r="DZ244">
            <v>2.8</v>
          </cell>
          <cell r="EA244">
            <v>1.8</v>
          </cell>
          <cell r="EB244">
            <v>2</v>
          </cell>
          <cell r="EC244">
            <v>1.8</v>
          </cell>
          <cell r="ED244">
            <v>2</v>
          </cell>
          <cell r="EE244">
            <v>2.2000000000000002</v>
          </cell>
          <cell r="EF244">
            <v>2.4</v>
          </cell>
          <cell r="EG244">
            <v>2.6</v>
          </cell>
        </row>
        <row r="245">
          <cell r="A245" t="str">
            <v>02010505White</v>
          </cell>
          <cell r="B245" t="str">
            <v>02010505C</v>
          </cell>
          <cell r="C245" t="str">
            <v>0201</v>
          </cell>
          <cell r="D245" t="str">
            <v>02010505</v>
          </cell>
          <cell r="E245" t="str">
            <v>New Bedford</v>
          </cell>
          <cell r="F245" t="str">
            <v>New Bedford High</v>
          </cell>
          <cell r="G245" t="str">
            <v>HS</v>
          </cell>
          <cell r="H245" t="str">
            <v>New Bedford - New Bedford High (02010505)</v>
          </cell>
          <cell r="I245" t="str">
            <v>White</v>
          </cell>
          <cell r="J245" t="str">
            <v>02010505White</v>
          </cell>
          <cell r="K245" t="str">
            <v>--</v>
          </cell>
          <cell r="L245">
            <v>87.8</v>
          </cell>
          <cell r="M245">
            <v>88.8</v>
          </cell>
          <cell r="N245">
            <v>89</v>
          </cell>
          <cell r="O245">
            <v>89.8</v>
          </cell>
          <cell r="P245">
            <v>93.9</v>
          </cell>
          <cell r="Q245">
            <v>90.9</v>
          </cell>
          <cell r="R245">
            <v>91.9</v>
          </cell>
          <cell r="S245">
            <v>92.9</v>
          </cell>
          <cell r="T245">
            <v>93.9</v>
          </cell>
          <cell r="U245">
            <v>76.8</v>
          </cell>
          <cell r="V245">
            <v>78.7</v>
          </cell>
          <cell r="W245">
            <v>76.8</v>
          </cell>
          <cell r="X245">
            <v>80.7</v>
          </cell>
          <cell r="Y245">
            <v>79.2</v>
          </cell>
          <cell r="Z245">
            <v>82.6</v>
          </cell>
          <cell r="AA245">
            <v>84.5</v>
          </cell>
          <cell r="AB245">
            <v>86.5</v>
          </cell>
          <cell r="AC245">
            <v>88.4</v>
          </cell>
          <cell r="AD245">
            <v>71.8</v>
          </cell>
          <cell r="AE245">
            <v>74.2</v>
          </cell>
          <cell r="AF245">
            <v>73.8</v>
          </cell>
          <cell r="AG245">
            <v>76.5</v>
          </cell>
          <cell r="AH245">
            <v>78.5</v>
          </cell>
          <cell r="AI245">
            <v>78.900000000000006</v>
          </cell>
          <cell r="AJ245">
            <v>81.2</v>
          </cell>
          <cell r="AK245">
            <v>83.6</v>
          </cell>
          <cell r="AL245">
            <v>85.9</v>
          </cell>
          <cell r="AM245">
            <v>62.2</v>
          </cell>
          <cell r="AN245">
            <v>64.7</v>
          </cell>
          <cell r="AO245">
            <v>68.8</v>
          </cell>
          <cell r="AP245">
            <v>71.3</v>
          </cell>
          <cell r="AQ245">
            <v>65.8</v>
          </cell>
          <cell r="AR245">
            <v>68.3</v>
          </cell>
          <cell r="AS245">
            <v>70.8</v>
          </cell>
          <cell r="AT245">
            <v>73.3</v>
          </cell>
          <cell r="AU245">
            <v>75.8</v>
          </cell>
          <cell r="AV245">
            <v>68</v>
          </cell>
          <cell r="AW245">
            <v>70.5</v>
          </cell>
          <cell r="AX245">
            <v>68.099999999999994</v>
          </cell>
          <cell r="AY245">
            <v>70.599999999999994</v>
          </cell>
          <cell r="AZ245">
            <v>74.400000000000006</v>
          </cell>
          <cell r="BA245">
            <v>76.900000000000006</v>
          </cell>
          <cell r="BB245">
            <v>79.400000000000006</v>
          </cell>
          <cell r="BC245">
            <v>81.900000000000006</v>
          </cell>
          <cell r="BD245">
            <v>84.4</v>
          </cell>
          <cell r="BE245">
            <v>5.4</v>
          </cell>
          <cell r="BF245">
            <v>5</v>
          </cell>
          <cell r="BG245">
            <v>5.4</v>
          </cell>
          <cell r="BH245">
            <v>4.5</v>
          </cell>
          <cell r="BI245">
            <v>5</v>
          </cell>
          <cell r="BJ245">
            <v>4.0999999999999996</v>
          </cell>
          <cell r="BK245">
            <v>3.6</v>
          </cell>
          <cell r="BL245">
            <v>3.2</v>
          </cell>
          <cell r="BM245">
            <v>2.7</v>
          </cell>
          <cell r="BN245">
            <v>26</v>
          </cell>
          <cell r="BO245">
            <v>36</v>
          </cell>
          <cell r="BP245">
            <v>28</v>
          </cell>
          <cell r="BQ245">
            <v>38</v>
          </cell>
          <cell r="BR245">
            <v>40</v>
          </cell>
          <cell r="BS245">
            <v>50</v>
          </cell>
          <cell r="BT245">
            <v>51</v>
          </cell>
          <cell r="BU245">
            <v>51</v>
          </cell>
          <cell r="BV245">
            <v>51</v>
          </cell>
          <cell r="BW245">
            <v>26</v>
          </cell>
          <cell r="BX245">
            <v>36</v>
          </cell>
          <cell r="BY245">
            <v>21</v>
          </cell>
          <cell r="BZ245">
            <v>31</v>
          </cell>
          <cell r="CA245">
            <v>28</v>
          </cell>
          <cell r="CB245">
            <v>38</v>
          </cell>
          <cell r="CC245">
            <v>48</v>
          </cell>
          <cell r="CD245">
            <v>51</v>
          </cell>
          <cell r="CE245">
            <v>51</v>
          </cell>
          <cell r="CF245">
            <v>5.0999999999999996</v>
          </cell>
          <cell r="CG245">
            <v>4.5999999999999996</v>
          </cell>
          <cell r="CH245">
            <v>3.9</v>
          </cell>
          <cell r="CI245">
            <v>3.5</v>
          </cell>
          <cell r="CJ245">
            <v>2.2000000000000002</v>
          </cell>
          <cell r="CK245">
            <v>2</v>
          </cell>
          <cell r="CL245">
            <v>1.8</v>
          </cell>
          <cell r="CM245">
            <v>1.6</v>
          </cell>
          <cell r="CN245">
            <v>1.4</v>
          </cell>
          <cell r="CO245">
            <v>15</v>
          </cell>
          <cell r="CP245">
            <v>13.5</v>
          </cell>
          <cell r="CQ245">
            <v>12.5</v>
          </cell>
          <cell r="CR245">
            <v>11.3</v>
          </cell>
          <cell r="CS245">
            <v>15.6</v>
          </cell>
          <cell r="CT245">
            <v>14</v>
          </cell>
          <cell r="CU245">
            <v>12.6</v>
          </cell>
          <cell r="CV245">
            <v>11.4</v>
          </cell>
          <cell r="CW245">
            <v>10.199999999999999</v>
          </cell>
          <cell r="CX245">
            <v>17.8</v>
          </cell>
          <cell r="CY245">
            <v>16</v>
          </cell>
          <cell r="CZ245">
            <v>12.1</v>
          </cell>
          <cell r="DA245">
            <v>10.9</v>
          </cell>
          <cell r="DB245">
            <v>7.9</v>
          </cell>
          <cell r="DC245">
            <v>7.1</v>
          </cell>
          <cell r="DD245">
            <v>6.4</v>
          </cell>
          <cell r="DE245">
            <v>5.8</v>
          </cell>
          <cell r="DF245">
            <v>5.2</v>
          </cell>
          <cell r="DG245">
            <v>12</v>
          </cell>
          <cell r="DH245">
            <v>13.2</v>
          </cell>
          <cell r="DI245">
            <v>13.3</v>
          </cell>
          <cell r="DJ245">
            <v>14.6</v>
          </cell>
          <cell r="DK245">
            <v>22.4</v>
          </cell>
          <cell r="DL245">
            <v>24.6</v>
          </cell>
          <cell r="DM245">
            <v>27.1</v>
          </cell>
          <cell r="DN245">
            <v>29.8</v>
          </cell>
          <cell r="DO245">
            <v>32.799999999999997</v>
          </cell>
          <cell r="DP245">
            <v>23.3</v>
          </cell>
          <cell r="DQ245">
            <v>25.6</v>
          </cell>
          <cell r="DR245">
            <v>27.5</v>
          </cell>
          <cell r="DS245">
            <v>30.3</v>
          </cell>
          <cell r="DT245">
            <v>38</v>
          </cell>
          <cell r="DU245">
            <v>41.8</v>
          </cell>
          <cell r="DV245">
            <v>46</v>
          </cell>
          <cell r="DW245">
            <v>50.6</v>
          </cell>
          <cell r="DX245">
            <v>55.6</v>
          </cell>
          <cell r="DY245">
            <v>7.3</v>
          </cell>
          <cell r="DZ245">
            <v>8</v>
          </cell>
          <cell r="EA245">
            <v>8.4</v>
          </cell>
          <cell r="EB245">
            <v>9.1999999999999993</v>
          </cell>
          <cell r="EC245">
            <v>11.9</v>
          </cell>
          <cell r="ED245">
            <v>13.1</v>
          </cell>
          <cell r="EE245">
            <v>14.4</v>
          </cell>
          <cell r="EF245">
            <v>15.8</v>
          </cell>
          <cell r="EG245">
            <v>17.399999999999999</v>
          </cell>
        </row>
        <row r="246">
          <cell r="A246" t="str">
            <v>02010505Students w/disabilities</v>
          </cell>
          <cell r="B246" t="str">
            <v>02010505D</v>
          </cell>
          <cell r="C246" t="str">
            <v>0201</v>
          </cell>
          <cell r="D246" t="str">
            <v>02010505</v>
          </cell>
          <cell r="E246" t="str">
            <v>New Bedford</v>
          </cell>
          <cell r="F246" t="str">
            <v>New Bedford High</v>
          </cell>
          <cell r="G246" t="str">
            <v>HS</v>
          </cell>
          <cell r="H246" t="str">
            <v>New Bedford - New Bedford High (02010505)</v>
          </cell>
          <cell r="I246" t="str">
            <v>Students w/disabilities</v>
          </cell>
          <cell r="J246" t="str">
            <v>02010505Students w/disabilities</v>
          </cell>
          <cell r="K246" t="str">
            <v>--</v>
          </cell>
          <cell r="L246">
            <v>60.4</v>
          </cell>
          <cell r="M246">
            <v>63.7</v>
          </cell>
          <cell r="N246">
            <v>70.5</v>
          </cell>
          <cell r="O246">
            <v>67</v>
          </cell>
          <cell r="P246">
            <v>75.8</v>
          </cell>
          <cell r="Q246">
            <v>70.3</v>
          </cell>
          <cell r="R246">
            <v>73.599999999999994</v>
          </cell>
          <cell r="S246">
            <v>76.900000000000006</v>
          </cell>
          <cell r="T246">
            <v>80.2</v>
          </cell>
          <cell r="U246">
            <v>53.4</v>
          </cell>
          <cell r="V246">
            <v>57.3</v>
          </cell>
          <cell r="W246">
            <v>49.2</v>
          </cell>
          <cell r="X246">
            <v>61.2</v>
          </cell>
          <cell r="Y246">
            <v>46</v>
          </cell>
          <cell r="Z246">
            <v>65.099999999999994</v>
          </cell>
          <cell r="AA246">
            <v>68.900000000000006</v>
          </cell>
          <cell r="AB246">
            <v>72.8</v>
          </cell>
          <cell r="AC246">
            <v>76.7</v>
          </cell>
          <cell r="AD246">
            <v>46</v>
          </cell>
          <cell r="AE246">
            <v>50.5</v>
          </cell>
          <cell r="AF246">
            <v>47.8</v>
          </cell>
          <cell r="AG246">
            <v>55</v>
          </cell>
          <cell r="AH246">
            <v>49.5</v>
          </cell>
          <cell r="AI246">
            <v>59.5</v>
          </cell>
          <cell r="AJ246">
            <v>64</v>
          </cell>
          <cell r="AK246">
            <v>68.5</v>
          </cell>
          <cell r="AL246">
            <v>73</v>
          </cell>
          <cell r="AM246">
            <v>22.5</v>
          </cell>
          <cell r="AN246">
            <v>25</v>
          </cell>
          <cell r="AO246">
            <v>28.5</v>
          </cell>
          <cell r="AP246">
            <v>31</v>
          </cell>
          <cell r="AQ246">
            <v>34.9</v>
          </cell>
          <cell r="AR246">
            <v>37.4</v>
          </cell>
          <cell r="AS246">
            <v>39.9</v>
          </cell>
          <cell r="AT246">
            <v>42.4</v>
          </cell>
          <cell r="AU246">
            <v>44.9</v>
          </cell>
          <cell r="AV246">
            <v>30.6</v>
          </cell>
          <cell r="AW246">
            <v>33.1</v>
          </cell>
          <cell r="AX246">
            <v>27.1</v>
          </cell>
          <cell r="AY246">
            <v>29.6</v>
          </cell>
          <cell r="AZ246">
            <v>36.6</v>
          </cell>
          <cell r="BA246">
            <v>39.1</v>
          </cell>
          <cell r="BB246">
            <v>41.6</v>
          </cell>
          <cell r="BC246">
            <v>44.1</v>
          </cell>
          <cell r="BD246">
            <v>46.6</v>
          </cell>
          <cell r="BE246">
            <v>7.5</v>
          </cell>
          <cell r="BF246">
            <v>6.9</v>
          </cell>
          <cell r="BG246">
            <v>8</v>
          </cell>
          <cell r="BH246">
            <v>6.3</v>
          </cell>
          <cell r="BI246">
            <v>6.6</v>
          </cell>
          <cell r="BJ246">
            <v>5.6</v>
          </cell>
          <cell r="BK246">
            <v>5</v>
          </cell>
          <cell r="BL246">
            <v>4.4000000000000004</v>
          </cell>
          <cell r="BM246">
            <v>3.8</v>
          </cell>
          <cell r="BN246">
            <v>38</v>
          </cell>
          <cell r="BO246">
            <v>48</v>
          </cell>
          <cell r="BP246">
            <v>33</v>
          </cell>
          <cell r="BQ246">
            <v>43</v>
          </cell>
          <cell r="BR246">
            <v>32.5</v>
          </cell>
          <cell r="BS246">
            <v>42.5</v>
          </cell>
          <cell r="BT246">
            <v>51</v>
          </cell>
          <cell r="BU246">
            <v>51</v>
          </cell>
          <cell r="BV246">
            <v>51</v>
          </cell>
          <cell r="BW246">
            <v>36</v>
          </cell>
          <cell r="BX246">
            <v>46</v>
          </cell>
          <cell r="BY246">
            <v>19.5</v>
          </cell>
          <cell r="BZ246">
            <v>29.5</v>
          </cell>
          <cell r="CA246">
            <v>21</v>
          </cell>
          <cell r="CB246">
            <v>31</v>
          </cell>
          <cell r="CC246">
            <v>41</v>
          </cell>
          <cell r="CD246">
            <v>51</v>
          </cell>
          <cell r="CE246">
            <v>51</v>
          </cell>
          <cell r="CF246">
            <v>26.2</v>
          </cell>
          <cell r="CG246">
            <v>23.6</v>
          </cell>
          <cell r="CH246">
            <v>16.399999999999999</v>
          </cell>
          <cell r="CI246">
            <v>14.8</v>
          </cell>
          <cell r="CJ246">
            <v>5</v>
          </cell>
          <cell r="CK246">
            <v>4.5</v>
          </cell>
          <cell r="CL246">
            <v>4.0999999999999996</v>
          </cell>
          <cell r="CM246">
            <v>3.6</v>
          </cell>
          <cell r="CN246">
            <v>3.3</v>
          </cell>
          <cell r="CO246">
            <v>35.799999999999997</v>
          </cell>
          <cell r="CP246">
            <v>32.200000000000003</v>
          </cell>
          <cell r="CQ246">
            <v>47</v>
          </cell>
          <cell r="CR246">
            <v>42.3</v>
          </cell>
          <cell r="CS246">
            <v>50</v>
          </cell>
          <cell r="CT246">
            <v>45</v>
          </cell>
          <cell r="CU246">
            <v>40.5</v>
          </cell>
          <cell r="CV246">
            <v>36.5</v>
          </cell>
          <cell r="CW246">
            <v>32.799999999999997</v>
          </cell>
          <cell r="CX246">
            <v>53.2</v>
          </cell>
          <cell r="CY246">
            <v>47.9</v>
          </cell>
          <cell r="CZ246">
            <v>36.200000000000003</v>
          </cell>
          <cell r="DA246">
            <v>32.6</v>
          </cell>
          <cell r="DB246">
            <v>34</v>
          </cell>
          <cell r="DC246">
            <v>30.6</v>
          </cell>
          <cell r="DD246">
            <v>27.5</v>
          </cell>
          <cell r="DE246">
            <v>24.8</v>
          </cell>
          <cell r="DF246">
            <v>22.3</v>
          </cell>
          <cell r="DG246">
            <v>1.5</v>
          </cell>
          <cell r="DH246">
            <v>1.7</v>
          </cell>
          <cell r="DI246">
            <v>1.5</v>
          </cell>
          <cell r="DJ246">
            <v>1.7</v>
          </cell>
          <cell r="DK246">
            <v>0</v>
          </cell>
          <cell r="DL246">
            <v>1</v>
          </cell>
          <cell r="DM246">
            <v>1.1000000000000001</v>
          </cell>
          <cell r="DN246">
            <v>1.2</v>
          </cell>
          <cell r="DO246">
            <v>1.3</v>
          </cell>
          <cell r="DP246">
            <v>4.5</v>
          </cell>
          <cell r="DQ246">
            <v>5</v>
          </cell>
          <cell r="DR246">
            <v>6.1</v>
          </cell>
          <cell r="DS246">
            <v>6.7</v>
          </cell>
          <cell r="DT246">
            <v>8.1</v>
          </cell>
          <cell r="DU246">
            <v>8.9</v>
          </cell>
          <cell r="DV246">
            <v>9.8000000000000007</v>
          </cell>
          <cell r="DW246">
            <v>10.8</v>
          </cell>
          <cell r="DX246">
            <v>11.9</v>
          </cell>
          <cell r="DY246">
            <v>1.6</v>
          </cell>
          <cell r="DZ246">
            <v>1.8</v>
          </cell>
          <cell r="EA246">
            <v>0</v>
          </cell>
          <cell r="EB246">
            <v>1</v>
          </cell>
          <cell r="EC246">
            <v>1.9</v>
          </cell>
          <cell r="ED246">
            <v>2.1</v>
          </cell>
          <cell r="EE246">
            <v>2.2999999999999998</v>
          </cell>
          <cell r="EF246">
            <v>2.5</v>
          </cell>
          <cell r="EG246">
            <v>2.8</v>
          </cell>
        </row>
        <row r="247">
          <cell r="A247" t="str">
            <v>02010505Low income</v>
          </cell>
          <cell r="B247" t="str">
            <v>02010505F</v>
          </cell>
          <cell r="C247" t="str">
            <v>0201</v>
          </cell>
          <cell r="D247" t="str">
            <v>02010505</v>
          </cell>
          <cell r="E247" t="str">
            <v>New Bedford</v>
          </cell>
          <cell r="F247" t="str">
            <v>New Bedford High</v>
          </cell>
          <cell r="G247" t="str">
            <v>HS</v>
          </cell>
          <cell r="H247" t="str">
            <v>New Bedford - New Bedford High (02010505)</v>
          </cell>
          <cell r="I247" t="str">
            <v>Low income</v>
          </cell>
          <cell r="J247" t="str">
            <v>02010505Low income</v>
          </cell>
          <cell r="K247" t="str">
            <v>--</v>
          </cell>
          <cell r="L247">
            <v>76.8</v>
          </cell>
          <cell r="M247">
            <v>78.7</v>
          </cell>
          <cell r="N247">
            <v>83.2</v>
          </cell>
          <cell r="O247">
            <v>80.7</v>
          </cell>
          <cell r="P247">
            <v>88.4</v>
          </cell>
          <cell r="Q247">
            <v>82.6</v>
          </cell>
          <cell r="R247">
            <v>84.5</v>
          </cell>
          <cell r="S247">
            <v>86.5</v>
          </cell>
          <cell r="T247">
            <v>88.4</v>
          </cell>
          <cell r="U247">
            <v>63.7</v>
          </cell>
          <cell r="V247">
            <v>66.7</v>
          </cell>
          <cell r="W247">
            <v>64.599999999999994</v>
          </cell>
          <cell r="X247">
            <v>69.8</v>
          </cell>
          <cell r="Y247">
            <v>62.9</v>
          </cell>
          <cell r="Z247">
            <v>72.8</v>
          </cell>
          <cell r="AA247">
            <v>75.8</v>
          </cell>
          <cell r="AB247">
            <v>78.8</v>
          </cell>
          <cell r="AC247">
            <v>81.900000000000006</v>
          </cell>
          <cell r="AD247">
            <v>58.2</v>
          </cell>
          <cell r="AE247">
            <v>61.7</v>
          </cell>
          <cell r="AF247">
            <v>58.3</v>
          </cell>
          <cell r="AG247">
            <v>65.2</v>
          </cell>
          <cell r="AH247">
            <v>62.2</v>
          </cell>
          <cell r="AI247">
            <v>68.7</v>
          </cell>
          <cell r="AJ247">
            <v>72.099999999999994</v>
          </cell>
          <cell r="AK247">
            <v>75.599999999999994</v>
          </cell>
          <cell r="AL247">
            <v>79.099999999999994</v>
          </cell>
          <cell r="AM247">
            <v>47.9</v>
          </cell>
          <cell r="AN247">
            <v>50.4</v>
          </cell>
          <cell r="AO247">
            <v>53.6</v>
          </cell>
          <cell r="AP247">
            <v>56.1</v>
          </cell>
          <cell r="AQ247">
            <v>54.1</v>
          </cell>
          <cell r="AR247">
            <v>56.6</v>
          </cell>
          <cell r="AS247">
            <v>59.1</v>
          </cell>
          <cell r="AT247">
            <v>61.6</v>
          </cell>
          <cell r="AU247">
            <v>64.099999999999994</v>
          </cell>
          <cell r="AV247">
            <v>57.8</v>
          </cell>
          <cell r="AW247">
            <v>60.3</v>
          </cell>
          <cell r="AX247">
            <v>54.1</v>
          </cell>
          <cell r="AY247">
            <v>56.6</v>
          </cell>
          <cell r="AZ247">
            <v>58.9</v>
          </cell>
          <cell r="BA247">
            <v>61.4</v>
          </cell>
          <cell r="BB247">
            <v>63.9</v>
          </cell>
          <cell r="BC247">
            <v>66.400000000000006</v>
          </cell>
          <cell r="BD247">
            <v>68.900000000000006</v>
          </cell>
          <cell r="BE247">
            <v>8</v>
          </cell>
          <cell r="BF247">
            <v>7.3</v>
          </cell>
          <cell r="BG247">
            <v>6.8</v>
          </cell>
          <cell r="BH247">
            <v>6.7</v>
          </cell>
          <cell r="BI247">
            <v>6</v>
          </cell>
          <cell r="BJ247">
            <v>6</v>
          </cell>
          <cell r="BK247">
            <v>5.3</v>
          </cell>
          <cell r="BL247">
            <v>4.7</v>
          </cell>
          <cell r="BM247">
            <v>4</v>
          </cell>
          <cell r="BN247">
            <v>29</v>
          </cell>
          <cell r="BO247">
            <v>39</v>
          </cell>
          <cell r="BP247">
            <v>26.5</v>
          </cell>
          <cell r="BQ247">
            <v>36.5</v>
          </cell>
          <cell r="BR247">
            <v>40.5</v>
          </cell>
          <cell r="BS247">
            <v>50.5</v>
          </cell>
          <cell r="BT247">
            <v>51</v>
          </cell>
          <cell r="BU247">
            <v>51</v>
          </cell>
          <cell r="BV247">
            <v>51</v>
          </cell>
          <cell r="BW247">
            <v>25</v>
          </cell>
          <cell r="BX247">
            <v>35</v>
          </cell>
          <cell r="BY247">
            <v>17</v>
          </cell>
          <cell r="BZ247">
            <v>27</v>
          </cell>
          <cell r="CA247">
            <v>22</v>
          </cell>
          <cell r="CB247">
            <v>32</v>
          </cell>
          <cell r="CC247">
            <v>42</v>
          </cell>
          <cell r="CD247">
            <v>51</v>
          </cell>
          <cell r="CE247">
            <v>51</v>
          </cell>
          <cell r="CF247">
            <v>8.6</v>
          </cell>
          <cell r="CG247">
            <v>7.7</v>
          </cell>
          <cell r="CH247">
            <v>6</v>
          </cell>
          <cell r="CI247">
            <v>5.4</v>
          </cell>
          <cell r="CJ247">
            <v>4.2</v>
          </cell>
          <cell r="CK247">
            <v>3.8</v>
          </cell>
          <cell r="CL247">
            <v>3.4</v>
          </cell>
          <cell r="CM247">
            <v>3.1</v>
          </cell>
          <cell r="CN247">
            <v>2.8</v>
          </cell>
          <cell r="CO247">
            <v>25.7</v>
          </cell>
          <cell r="CP247">
            <v>23.1</v>
          </cell>
          <cell r="CQ247">
            <v>24.7</v>
          </cell>
          <cell r="CR247">
            <v>22.2</v>
          </cell>
          <cell r="CS247">
            <v>29.7</v>
          </cell>
          <cell r="CT247">
            <v>26.7</v>
          </cell>
          <cell r="CU247">
            <v>24.1</v>
          </cell>
          <cell r="CV247">
            <v>21.7</v>
          </cell>
          <cell r="CW247">
            <v>19.5</v>
          </cell>
          <cell r="CX247">
            <v>31.6</v>
          </cell>
          <cell r="CY247">
            <v>28.4</v>
          </cell>
          <cell r="CZ247">
            <v>26.6</v>
          </cell>
          <cell r="DA247">
            <v>23.9</v>
          </cell>
          <cell r="DB247">
            <v>21.6</v>
          </cell>
          <cell r="DC247">
            <v>19.399999999999999</v>
          </cell>
          <cell r="DD247">
            <v>17.5</v>
          </cell>
          <cell r="DE247">
            <v>15.7</v>
          </cell>
          <cell r="DF247">
            <v>14.2</v>
          </cell>
          <cell r="DG247">
            <v>2.7</v>
          </cell>
          <cell r="DH247">
            <v>3</v>
          </cell>
          <cell r="DI247">
            <v>2.1</v>
          </cell>
          <cell r="DJ247">
            <v>2.2999999999999998</v>
          </cell>
          <cell r="DK247">
            <v>8.5</v>
          </cell>
          <cell r="DL247">
            <v>9.4</v>
          </cell>
          <cell r="DM247">
            <v>10.3</v>
          </cell>
          <cell r="DN247">
            <v>11.3</v>
          </cell>
          <cell r="DO247">
            <v>12.4</v>
          </cell>
          <cell r="DP247">
            <v>9.8000000000000007</v>
          </cell>
          <cell r="DQ247">
            <v>10.8</v>
          </cell>
          <cell r="DR247">
            <v>10.4</v>
          </cell>
          <cell r="DS247">
            <v>11.4</v>
          </cell>
          <cell r="DT247">
            <v>14.1</v>
          </cell>
          <cell r="DU247">
            <v>15.5</v>
          </cell>
          <cell r="DV247">
            <v>17.100000000000001</v>
          </cell>
          <cell r="DW247">
            <v>18.8</v>
          </cell>
          <cell r="DX247">
            <v>20.6</v>
          </cell>
          <cell r="DY247">
            <v>2.1</v>
          </cell>
          <cell r="DZ247">
            <v>2.2999999999999998</v>
          </cell>
          <cell r="EA247">
            <v>1.2</v>
          </cell>
          <cell r="EB247">
            <v>1.3</v>
          </cell>
          <cell r="EC247">
            <v>2</v>
          </cell>
          <cell r="ED247">
            <v>2.2000000000000002</v>
          </cell>
          <cell r="EE247">
            <v>2.4</v>
          </cell>
          <cell r="EF247">
            <v>2.7</v>
          </cell>
          <cell r="EG247">
            <v>2.9</v>
          </cell>
        </row>
        <row r="248">
          <cell r="A248" t="str">
            <v>02010505Hispanic/Latino</v>
          </cell>
          <cell r="B248" t="str">
            <v>02010505H</v>
          </cell>
          <cell r="C248" t="str">
            <v>0201</v>
          </cell>
          <cell r="D248" t="str">
            <v>02010505</v>
          </cell>
          <cell r="E248" t="str">
            <v>New Bedford</v>
          </cell>
          <cell r="F248" t="str">
            <v>New Bedford High</v>
          </cell>
          <cell r="G248" t="str">
            <v>HS</v>
          </cell>
          <cell r="H248" t="str">
            <v>New Bedford - New Bedford High (02010505)</v>
          </cell>
          <cell r="I248" t="str">
            <v>Hispanic/Latino</v>
          </cell>
          <cell r="J248" t="str">
            <v>02010505Hispanic/Latino</v>
          </cell>
          <cell r="K248" t="str">
            <v>--</v>
          </cell>
          <cell r="L248">
            <v>75.3</v>
          </cell>
          <cell r="M248">
            <v>77.400000000000006</v>
          </cell>
          <cell r="N248">
            <v>85.1</v>
          </cell>
          <cell r="O248">
            <v>79.400000000000006</v>
          </cell>
          <cell r="P248">
            <v>88.6</v>
          </cell>
          <cell r="Q248">
            <v>81.5</v>
          </cell>
          <cell r="R248">
            <v>83.5</v>
          </cell>
          <cell r="S248">
            <v>85.6</v>
          </cell>
          <cell r="T248">
            <v>87.7</v>
          </cell>
          <cell r="U248">
            <v>59.8</v>
          </cell>
          <cell r="V248">
            <v>63.2</v>
          </cell>
          <cell r="W248">
            <v>62</v>
          </cell>
          <cell r="X248">
            <v>66.5</v>
          </cell>
          <cell r="Y248">
            <v>57.3</v>
          </cell>
          <cell r="Z248">
            <v>69.900000000000006</v>
          </cell>
          <cell r="AA248">
            <v>73.2</v>
          </cell>
          <cell r="AB248">
            <v>76.599999999999994</v>
          </cell>
          <cell r="AC248">
            <v>79.900000000000006</v>
          </cell>
          <cell r="AD248">
            <v>55.2</v>
          </cell>
          <cell r="AE248">
            <v>58.9</v>
          </cell>
          <cell r="AF248">
            <v>56</v>
          </cell>
          <cell r="AG248">
            <v>62.7</v>
          </cell>
          <cell r="AH248">
            <v>55.6</v>
          </cell>
          <cell r="AI248">
            <v>66.400000000000006</v>
          </cell>
          <cell r="AJ248">
            <v>70.099999999999994</v>
          </cell>
          <cell r="AK248">
            <v>73.900000000000006</v>
          </cell>
          <cell r="AL248">
            <v>77.599999999999994</v>
          </cell>
          <cell r="AM248">
            <v>38.5</v>
          </cell>
          <cell r="AN248">
            <v>41</v>
          </cell>
          <cell r="AO248">
            <v>36.5</v>
          </cell>
          <cell r="AP248">
            <v>39</v>
          </cell>
          <cell r="AQ248">
            <v>44.4</v>
          </cell>
          <cell r="AR248">
            <v>46.9</v>
          </cell>
          <cell r="AS248">
            <v>49.4</v>
          </cell>
          <cell r="AT248">
            <v>51.9</v>
          </cell>
          <cell r="AU248">
            <v>54.4</v>
          </cell>
          <cell r="AV248">
            <v>51.4</v>
          </cell>
          <cell r="AW248">
            <v>53.9</v>
          </cell>
          <cell r="AX248">
            <v>42.2</v>
          </cell>
          <cell r="AY248">
            <v>44.7</v>
          </cell>
          <cell r="AZ248">
            <v>39.6</v>
          </cell>
          <cell r="BA248">
            <v>42.1</v>
          </cell>
          <cell r="BB248">
            <v>44.6</v>
          </cell>
          <cell r="BC248">
            <v>47.1</v>
          </cell>
          <cell r="BD248">
            <v>49.6</v>
          </cell>
          <cell r="BE248">
            <v>9.3000000000000007</v>
          </cell>
          <cell r="BF248">
            <v>8.5</v>
          </cell>
          <cell r="BG248">
            <v>8.6</v>
          </cell>
          <cell r="BH248">
            <v>7.8</v>
          </cell>
          <cell r="BI248">
            <v>6.9</v>
          </cell>
          <cell r="BJ248">
            <v>7</v>
          </cell>
          <cell r="BK248">
            <v>6.2</v>
          </cell>
          <cell r="BL248">
            <v>5.4</v>
          </cell>
          <cell r="BM248">
            <v>4.7</v>
          </cell>
          <cell r="BN248">
            <v>36</v>
          </cell>
          <cell r="BO248">
            <v>46</v>
          </cell>
          <cell r="BP248">
            <v>26</v>
          </cell>
          <cell r="BQ248">
            <v>36</v>
          </cell>
          <cell r="BR248">
            <v>37.5</v>
          </cell>
          <cell r="BS248">
            <v>47.5</v>
          </cell>
          <cell r="BT248">
            <v>51</v>
          </cell>
          <cell r="BU248">
            <v>51</v>
          </cell>
          <cell r="BV248">
            <v>51</v>
          </cell>
          <cell r="BW248">
            <v>33</v>
          </cell>
          <cell r="BX248">
            <v>43</v>
          </cell>
          <cell r="BY248">
            <v>17</v>
          </cell>
          <cell r="BZ248">
            <v>27</v>
          </cell>
          <cell r="CA248">
            <v>13.5</v>
          </cell>
          <cell r="CB248">
            <v>23.5</v>
          </cell>
          <cell r="CC248">
            <v>33.5</v>
          </cell>
          <cell r="CD248">
            <v>43.5</v>
          </cell>
          <cell r="CE248">
            <v>51</v>
          </cell>
          <cell r="CF248">
            <v>8</v>
          </cell>
          <cell r="CG248">
            <v>7.2</v>
          </cell>
          <cell r="CH248">
            <v>3.8</v>
          </cell>
          <cell r="CI248">
            <v>3.4</v>
          </cell>
          <cell r="CJ248">
            <v>3.3</v>
          </cell>
          <cell r="CK248">
            <v>3</v>
          </cell>
          <cell r="CL248">
            <v>2.7</v>
          </cell>
          <cell r="CM248">
            <v>2.4</v>
          </cell>
          <cell r="CN248">
            <v>2.2000000000000002</v>
          </cell>
          <cell r="CO248">
            <v>31.3</v>
          </cell>
          <cell r="CP248">
            <v>28.2</v>
          </cell>
          <cell r="CQ248">
            <v>24.5</v>
          </cell>
          <cell r="CR248">
            <v>22.1</v>
          </cell>
          <cell r="CS248">
            <v>32.299999999999997</v>
          </cell>
          <cell r="CT248">
            <v>29.1</v>
          </cell>
          <cell r="CU248">
            <v>26.2</v>
          </cell>
          <cell r="CV248">
            <v>23.5</v>
          </cell>
          <cell r="CW248">
            <v>21.2</v>
          </cell>
          <cell r="CX248">
            <v>36.1</v>
          </cell>
          <cell r="CY248">
            <v>32.5</v>
          </cell>
          <cell r="CZ248">
            <v>31.3</v>
          </cell>
          <cell r="DA248">
            <v>28.2</v>
          </cell>
          <cell r="DB248">
            <v>28.9</v>
          </cell>
          <cell r="DC248">
            <v>26</v>
          </cell>
          <cell r="DD248">
            <v>23.4</v>
          </cell>
          <cell r="DE248">
            <v>21.1</v>
          </cell>
          <cell r="DF248">
            <v>19</v>
          </cell>
          <cell r="DG248">
            <v>3</v>
          </cell>
          <cell r="DH248">
            <v>3.3</v>
          </cell>
          <cell r="DI248">
            <v>2.8</v>
          </cell>
          <cell r="DJ248">
            <v>3.1</v>
          </cell>
          <cell r="DK248">
            <v>4.4000000000000004</v>
          </cell>
          <cell r="DL248">
            <v>4.8</v>
          </cell>
          <cell r="DM248">
            <v>5.3</v>
          </cell>
          <cell r="DN248">
            <v>5.9</v>
          </cell>
          <cell r="DO248">
            <v>6.4</v>
          </cell>
          <cell r="DP248">
            <v>12.1</v>
          </cell>
          <cell r="DQ248">
            <v>13.3</v>
          </cell>
          <cell r="DR248">
            <v>7.5</v>
          </cell>
          <cell r="DS248">
            <v>8.3000000000000007</v>
          </cell>
          <cell r="DT248">
            <v>10.8</v>
          </cell>
          <cell r="DU248">
            <v>11.9</v>
          </cell>
          <cell r="DV248">
            <v>13.1</v>
          </cell>
          <cell r="DW248">
            <v>14.4</v>
          </cell>
          <cell r="DX248">
            <v>15.8</v>
          </cell>
          <cell r="DY248">
            <v>3.1</v>
          </cell>
          <cell r="DZ248">
            <v>3.4</v>
          </cell>
          <cell r="EA248">
            <v>1</v>
          </cell>
          <cell r="EB248">
            <v>1.1000000000000001</v>
          </cell>
          <cell r="EC248">
            <v>2.2000000000000002</v>
          </cell>
          <cell r="ED248">
            <v>2.4</v>
          </cell>
          <cell r="EE248">
            <v>2.7</v>
          </cell>
          <cell r="EF248">
            <v>2.9</v>
          </cell>
          <cell r="EG248">
            <v>3.2</v>
          </cell>
        </row>
        <row r="249">
          <cell r="A249" t="str">
            <v>02010505ELL and Former ELL</v>
          </cell>
          <cell r="B249" t="str">
            <v>02010505L</v>
          </cell>
          <cell r="C249" t="str">
            <v>0201</v>
          </cell>
          <cell r="D249" t="str">
            <v>02010505</v>
          </cell>
          <cell r="E249" t="str">
            <v>New Bedford</v>
          </cell>
          <cell r="F249" t="str">
            <v>New Bedford High</v>
          </cell>
          <cell r="G249" t="str">
            <v>HS</v>
          </cell>
          <cell r="H249" t="str">
            <v>New Bedford - New Bedford High (02010505)</v>
          </cell>
          <cell r="I249" t="str">
            <v>ELL and Former ELL</v>
          </cell>
          <cell r="J249" t="str">
            <v>02010505ELL and Former ELL</v>
          </cell>
          <cell r="K249" t="str">
            <v>--</v>
          </cell>
          <cell r="L249">
            <v>43.3</v>
          </cell>
          <cell r="M249">
            <v>48</v>
          </cell>
          <cell r="N249">
            <v>62.9</v>
          </cell>
          <cell r="O249">
            <v>52.8</v>
          </cell>
          <cell r="P249">
            <v>56.3</v>
          </cell>
          <cell r="Q249">
            <v>57.5</v>
          </cell>
          <cell r="R249">
            <v>62.2</v>
          </cell>
          <cell r="S249">
            <v>66.900000000000006</v>
          </cell>
          <cell r="T249">
            <v>71.7</v>
          </cell>
          <cell r="U249">
            <v>42.1</v>
          </cell>
          <cell r="V249">
            <v>46.9</v>
          </cell>
          <cell r="W249">
            <v>34.1</v>
          </cell>
          <cell r="X249">
            <v>51.8</v>
          </cell>
          <cell r="Y249">
            <v>26.9</v>
          </cell>
          <cell r="Z249">
            <v>56.6</v>
          </cell>
          <cell r="AA249">
            <v>61.4</v>
          </cell>
          <cell r="AB249">
            <v>66.2</v>
          </cell>
          <cell r="AC249">
            <v>71.099999999999994</v>
          </cell>
          <cell r="AD249">
            <v>33.6</v>
          </cell>
          <cell r="AE249">
            <v>39.1</v>
          </cell>
          <cell r="AF249">
            <v>35.200000000000003</v>
          </cell>
          <cell r="AG249">
            <v>44.7</v>
          </cell>
          <cell r="AH249">
            <v>38.6</v>
          </cell>
          <cell r="AI249">
            <v>50.2</v>
          </cell>
          <cell r="AJ249">
            <v>55.7</v>
          </cell>
          <cell r="AK249">
            <v>61.3</v>
          </cell>
          <cell r="AL249">
            <v>66.8</v>
          </cell>
          <cell r="AM249">
            <v>39</v>
          </cell>
          <cell r="AN249">
            <v>41.5</v>
          </cell>
          <cell r="AO249">
            <v>36.700000000000003</v>
          </cell>
          <cell r="AP249">
            <v>39.200000000000003</v>
          </cell>
          <cell r="AQ249">
            <v>29.8</v>
          </cell>
          <cell r="AR249">
            <v>32.299999999999997</v>
          </cell>
          <cell r="AS249">
            <v>34.799999999999997</v>
          </cell>
          <cell r="AT249">
            <v>37.299999999999997</v>
          </cell>
          <cell r="AU249">
            <v>39.799999999999997</v>
          </cell>
          <cell r="AV249">
            <v>67.400000000000006</v>
          </cell>
          <cell r="AW249">
            <v>69.900000000000006</v>
          </cell>
          <cell r="AX249">
            <v>42.4</v>
          </cell>
          <cell r="AY249">
            <v>44.9</v>
          </cell>
          <cell r="AZ249">
            <v>40</v>
          </cell>
          <cell r="BA249">
            <v>42.5</v>
          </cell>
          <cell r="BB249">
            <v>45</v>
          </cell>
          <cell r="BC249">
            <v>47.5</v>
          </cell>
          <cell r="BD249">
            <v>50</v>
          </cell>
          <cell r="BE249">
            <v>8.8000000000000007</v>
          </cell>
          <cell r="BF249">
            <v>8.1</v>
          </cell>
          <cell r="BG249">
            <v>15.2</v>
          </cell>
          <cell r="BH249">
            <v>7.3</v>
          </cell>
          <cell r="BI249">
            <v>6.7</v>
          </cell>
          <cell r="BJ249">
            <v>6.6</v>
          </cell>
          <cell r="BK249">
            <v>5.9</v>
          </cell>
          <cell r="BL249">
            <v>5.0999999999999996</v>
          </cell>
          <cell r="BM249">
            <v>4.4000000000000004</v>
          </cell>
          <cell r="BN249" t="str">
            <v>--</v>
          </cell>
          <cell r="BO249" t="str">
            <v>--</v>
          </cell>
          <cell r="BP249" t="str">
            <v>--</v>
          </cell>
          <cell r="BQ249" t="str">
            <v>--</v>
          </cell>
          <cell r="BR249" t="str">
            <v>--</v>
          </cell>
          <cell r="BS249" t="str">
            <v>--</v>
          </cell>
          <cell r="BT249" t="str">
            <v>--</v>
          </cell>
          <cell r="BU249" t="str">
            <v>--</v>
          </cell>
          <cell r="BV249" t="str">
            <v>--</v>
          </cell>
          <cell r="BW249" t="str">
            <v>--</v>
          </cell>
          <cell r="BX249" t="str">
            <v>--</v>
          </cell>
          <cell r="BY249" t="str">
            <v>--</v>
          </cell>
          <cell r="BZ249" t="str">
            <v>--</v>
          </cell>
          <cell r="CA249" t="str">
            <v>--</v>
          </cell>
          <cell r="CB249" t="str">
            <v>--</v>
          </cell>
          <cell r="CC249" t="str">
            <v>--</v>
          </cell>
          <cell r="CD249" t="str">
            <v>--</v>
          </cell>
          <cell r="CE249" t="str">
            <v>--</v>
          </cell>
          <cell r="CF249">
            <v>40</v>
          </cell>
          <cell r="CG249">
            <v>36</v>
          </cell>
          <cell r="CH249">
            <v>16.100000000000001</v>
          </cell>
          <cell r="CI249">
            <v>14.5</v>
          </cell>
          <cell r="CJ249">
            <v>30.6</v>
          </cell>
          <cell r="CK249">
            <v>27.5</v>
          </cell>
          <cell r="CL249">
            <v>24.8</v>
          </cell>
          <cell r="CM249">
            <v>22.3</v>
          </cell>
          <cell r="CN249">
            <v>20.100000000000001</v>
          </cell>
          <cell r="CO249">
            <v>54.3</v>
          </cell>
          <cell r="CP249">
            <v>48.9</v>
          </cell>
          <cell r="CQ249">
            <v>72.7</v>
          </cell>
          <cell r="CR249">
            <v>65.400000000000006</v>
          </cell>
          <cell r="CS249">
            <v>84.6</v>
          </cell>
          <cell r="CT249">
            <v>76.099999999999994</v>
          </cell>
          <cell r="CU249">
            <v>68.5</v>
          </cell>
          <cell r="CV249">
            <v>61.7</v>
          </cell>
          <cell r="CW249">
            <v>55.5</v>
          </cell>
          <cell r="CX249">
            <v>72.400000000000006</v>
          </cell>
          <cell r="CY249">
            <v>65.2</v>
          </cell>
          <cell r="CZ249">
            <v>59.4</v>
          </cell>
          <cell r="DA249">
            <v>53.5</v>
          </cell>
          <cell r="DB249">
            <v>66.7</v>
          </cell>
          <cell r="DC249">
            <v>60</v>
          </cell>
          <cell r="DD249">
            <v>54</v>
          </cell>
          <cell r="DE249">
            <v>48.6</v>
          </cell>
          <cell r="DF249">
            <v>43.8</v>
          </cell>
          <cell r="DG249">
            <v>0</v>
          </cell>
          <cell r="DH249">
            <v>1</v>
          </cell>
          <cell r="DI249">
            <v>0</v>
          </cell>
          <cell r="DJ249">
            <v>1</v>
          </cell>
          <cell r="DK249">
            <v>0</v>
          </cell>
          <cell r="DL249">
            <v>1</v>
          </cell>
          <cell r="DM249">
            <v>1.1000000000000001</v>
          </cell>
          <cell r="DN249">
            <v>1.2</v>
          </cell>
          <cell r="DO249">
            <v>1.3</v>
          </cell>
          <cell r="DP249">
            <v>0</v>
          </cell>
          <cell r="DQ249">
            <v>1</v>
          </cell>
          <cell r="DR249">
            <v>0</v>
          </cell>
          <cell r="DS249">
            <v>1</v>
          </cell>
          <cell r="DT249">
            <v>2.6</v>
          </cell>
          <cell r="DU249">
            <v>2.9</v>
          </cell>
          <cell r="DV249">
            <v>3.1</v>
          </cell>
          <cell r="DW249">
            <v>3.5</v>
          </cell>
          <cell r="DX249">
            <v>3.8</v>
          </cell>
          <cell r="DY249">
            <v>0</v>
          </cell>
          <cell r="DZ249">
            <v>1</v>
          </cell>
          <cell r="EA249">
            <v>0</v>
          </cell>
          <cell r="EB249">
            <v>1</v>
          </cell>
          <cell r="EC249">
            <v>0</v>
          </cell>
          <cell r="ED249">
            <v>1</v>
          </cell>
          <cell r="EE249">
            <v>1.1000000000000001</v>
          </cell>
          <cell r="EF249">
            <v>1.2</v>
          </cell>
          <cell r="EG249">
            <v>1.3</v>
          </cell>
        </row>
        <row r="250">
          <cell r="A250" t="str">
            <v>02010505Multi-race, Non-Hisp./Lat.</v>
          </cell>
          <cell r="B250" t="str">
            <v>02010505M</v>
          </cell>
          <cell r="C250" t="str">
            <v>0201</v>
          </cell>
          <cell r="D250" t="str">
            <v>02010505</v>
          </cell>
          <cell r="E250" t="str">
            <v>New Bedford</v>
          </cell>
          <cell r="F250" t="str">
            <v>New Bedford High</v>
          </cell>
          <cell r="G250" t="str">
            <v>HS</v>
          </cell>
          <cell r="H250" t="str">
            <v>New Bedford - New Bedford High (02010505)</v>
          </cell>
          <cell r="I250" t="str">
            <v>Multi-race, Non-Hisp./Lat.</v>
          </cell>
          <cell r="J250" t="str">
            <v>02010505Multi-race, Non-Hisp./Lat.</v>
          </cell>
          <cell r="K250" t="str">
            <v>Level 3</v>
          </cell>
          <cell r="L250">
            <v>84.9</v>
          </cell>
          <cell r="M250">
            <v>86.2</v>
          </cell>
          <cell r="N250">
            <v>83.8</v>
          </cell>
          <cell r="O250">
            <v>87.4</v>
          </cell>
          <cell r="P250">
            <v>93.5</v>
          </cell>
          <cell r="Q250">
            <v>88.7</v>
          </cell>
          <cell r="R250">
            <v>89.9</v>
          </cell>
          <cell r="S250">
            <v>91.2</v>
          </cell>
          <cell r="T250">
            <v>92.5</v>
          </cell>
          <cell r="U250">
            <v>70.400000000000006</v>
          </cell>
          <cell r="V250">
            <v>72.900000000000006</v>
          </cell>
          <cell r="W250">
            <v>72.7</v>
          </cell>
          <cell r="X250">
            <v>75.3</v>
          </cell>
          <cell r="Y250">
            <v>70</v>
          </cell>
          <cell r="Z250">
            <v>77.8</v>
          </cell>
          <cell r="AA250">
            <v>80.3</v>
          </cell>
          <cell r="AB250">
            <v>82.7</v>
          </cell>
          <cell r="AC250">
            <v>85.2</v>
          </cell>
          <cell r="AD250">
            <v>67.5</v>
          </cell>
          <cell r="AE250">
            <v>70.2</v>
          </cell>
          <cell r="AF250">
            <v>62.5</v>
          </cell>
          <cell r="AG250">
            <v>72.900000000000006</v>
          </cell>
          <cell r="AH250">
            <v>71.8</v>
          </cell>
          <cell r="AI250">
            <v>75.599999999999994</v>
          </cell>
          <cell r="AJ250">
            <v>78.3</v>
          </cell>
          <cell r="AK250">
            <v>81</v>
          </cell>
          <cell r="AL250">
            <v>83.8</v>
          </cell>
          <cell r="AM250">
            <v>51.9</v>
          </cell>
          <cell r="AN250">
            <v>54.4</v>
          </cell>
          <cell r="AO250">
            <v>67.2</v>
          </cell>
          <cell r="AP250">
            <v>69.7</v>
          </cell>
          <cell r="AQ250">
            <v>70.8</v>
          </cell>
          <cell r="AR250">
            <v>73.3</v>
          </cell>
          <cell r="AS250">
            <v>75.8</v>
          </cell>
          <cell r="AT250">
            <v>78.3</v>
          </cell>
          <cell r="AU250">
            <v>80.8</v>
          </cell>
          <cell r="AV250">
            <v>60.8</v>
          </cell>
          <cell r="AW250">
            <v>63.3</v>
          </cell>
          <cell r="AX250">
            <v>55.8</v>
          </cell>
          <cell r="AY250">
            <v>58.3</v>
          </cell>
          <cell r="AZ250">
            <v>72.400000000000006</v>
          </cell>
          <cell r="BA250">
            <v>74.900000000000006</v>
          </cell>
          <cell r="BB250">
            <v>77.400000000000006</v>
          </cell>
          <cell r="BC250">
            <v>79.900000000000006</v>
          </cell>
          <cell r="BD250">
            <v>82.4</v>
          </cell>
          <cell r="BE250">
            <v>6</v>
          </cell>
          <cell r="BF250">
            <v>5.5</v>
          </cell>
          <cell r="BG250">
            <v>6.2</v>
          </cell>
          <cell r="BH250">
            <v>5</v>
          </cell>
          <cell r="BI250">
            <v>2.6</v>
          </cell>
          <cell r="BJ250">
            <v>4.5</v>
          </cell>
          <cell r="BK250">
            <v>4</v>
          </cell>
          <cell r="BL250">
            <v>3.5</v>
          </cell>
          <cell r="BM250">
            <v>3</v>
          </cell>
          <cell r="BN250">
            <v>36.5</v>
          </cell>
          <cell r="BO250">
            <v>46.5</v>
          </cell>
          <cell r="BP250">
            <v>26</v>
          </cell>
          <cell r="BQ250">
            <v>46.5</v>
          </cell>
          <cell r="BR250">
            <v>41</v>
          </cell>
          <cell r="BS250">
            <v>51</v>
          </cell>
          <cell r="BT250">
            <v>51</v>
          </cell>
          <cell r="BU250">
            <v>51</v>
          </cell>
          <cell r="BV250">
            <v>51</v>
          </cell>
          <cell r="BW250">
            <v>25.5</v>
          </cell>
          <cell r="BX250">
            <v>35.5</v>
          </cell>
          <cell r="BY250">
            <v>16</v>
          </cell>
          <cell r="BZ250">
            <v>35.5</v>
          </cell>
          <cell r="CA250">
            <v>29</v>
          </cell>
          <cell r="CB250">
            <v>45.5</v>
          </cell>
          <cell r="CC250">
            <v>51</v>
          </cell>
          <cell r="CD250">
            <v>51</v>
          </cell>
          <cell r="CE250">
            <v>51</v>
          </cell>
          <cell r="CF250">
            <v>2.1</v>
          </cell>
          <cell r="CG250">
            <v>1.9</v>
          </cell>
          <cell r="CH250">
            <v>5.9</v>
          </cell>
          <cell r="CI250">
            <v>5.3</v>
          </cell>
          <cell r="CJ250">
            <v>0</v>
          </cell>
          <cell r="CK250">
            <v>0</v>
          </cell>
          <cell r="CL250">
            <v>0</v>
          </cell>
          <cell r="CM250">
            <v>0</v>
          </cell>
          <cell r="CN250">
            <v>0</v>
          </cell>
          <cell r="CO250">
            <v>20.399999999999999</v>
          </cell>
          <cell r="CP250">
            <v>18.399999999999999</v>
          </cell>
          <cell r="CQ250">
            <v>24.2</v>
          </cell>
          <cell r="CR250">
            <v>21.8</v>
          </cell>
          <cell r="CS250">
            <v>20</v>
          </cell>
          <cell r="CT250">
            <v>18</v>
          </cell>
          <cell r="CU250">
            <v>16.2</v>
          </cell>
          <cell r="CV250">
            <v>14.6</v>
          </cell>
          <cell r="CW250">
            <v>13.1</v>
          </cell>
          <cell r="CX250">
            <v>18</v>
          </cell>
          <cell r="CY250">
            <v>16.2</v>
          </cell>
          <cell r="CZ250">
            <v>25</v>
          </cell>
          <cell r="DA250">
            <v>22.5</v>
          </cell>
          <cell r="DB250">
            <v>12.9</v>
          </cell>
          <cell r="DC250">
            <v>11.6</v>
          </cell>
          <cell r="DD250">
            <v>10.4</v>
          </cell>
          <cell r="DE250">
            <v>9.4</v>
          </cell>
          <cell r="DF250">
            <v>8.5</v>
          </cell>
          <cell r="DG250">
            <v>6.3</v>
          </cell>
          <cell r="DH250">
            <v>6.9</v>
          </cell>
          <cell r="DI250">
            <v>11.8</v>
          </cell>
          <cell r="DJ250">
            <v>13</v>
          </cell>
          <cell r="DK250">
            <v>16.100000000000001</v>
          </cell>
          <cell r="DL250">
            <v>17.7</v>
          </cell>
          <cell r="DM250">
            <v>19.5</v>
          </cell>
          <cell r="DN250">
            <v>21.4</v>
          </cell>
          <cell r="DO250">
            <v>23.6</v>
          </cell>
          <cell r="DP250">
            <v>14.3</v>
          </cell>
          <cell r="DQ250">
            <v>15.7</v>
          </cell>
          <cell r="DR250">
            <v>15.2</v>
          </cell>
          <cell r="DS250">
            <v>16.7</v>
          </cell>
          <cell r="DT250">
            <v>26.7</v>
          </cell>
          <cell r="DU250">
            <v>29.4</v>
          </cell>
          <cell r="DV250">
            <v>32.299999999999997</v>
          </cell>
          <cell r="DW250">
            <v>35.5</v>
          </cell>
          <cell r="DX250">
            <v>39.1</v>
          </cell>
          <cell r="DY250">
            <v>6</v>
          </cell>
          <cell r="DZ250">
            <v>6.6</v>
          </cell>
          <cell r="EA250">
            <v>0</v>
          </cell>
          <cell r="EB250">
            <v>1</v>
          </cell>
          <cell r="EC250">
            <v>6.5</v>
          </cell>
          <cell r="ED250">
            <v>7.2</v>
          </cell>
          <cell r="EE250">
            <v>7.9</v>
          </cell>
          <cell r="EF250">
            <v>8.6999999999999993</v>
          </cell>
          <cell r="EG250">
            <v>9.5</v>
          </cell>
        </row>
        <row r="251">
          <cell r="A251" t="str">
            <v>02010505Amer. Ind. or Alaska Nat.</v>
          </cell>
          <cell r="B251" t="str">
            <v>02010505N</v>
          </cell>
          <cell r="C251" t="str">
            <v>0201</v>
          </cell>
          <cell r="D251" t="str">
            <v>02010505</v>
          </cell>
          <cell r="E251" t="str">
            <v>New Bedford</v>
          </cell>
          <cell r="F251" t="str">
            <v>New Bedford High</v>
          </cell>
          <cell r="G251" t="str">
            <v>HS</v>
          </cell>
          <cell r="H251" t="str">
            <v>New Bedford - New Bedford High (02010505)</v>
          </cell>
          <cell r="I251" t="str">
            <v>Amer. Ind. or Alaska Nat.</v>
          </cell>
          <cell r="J251" t="str">
            <v>02010505Amer. Ind. or Alaska Nat.</v>
          </cell>
          <cell r="K251" t="str">
            <v>--</v>
          </cell>
          <cell r="L251" t="str">
            <v>--</v>
          </cell>
          <cell r="M251" t="str">
            <v>--</v>
          </cell>
          <cell r="N251" t="str">
            <v>--</v>
          </cell>
          <cell r="O251" t="str">
            <v>--</v>
          </cell>
          <cell r="P251" t="str">
            <v>--</v>
          </cell>
          <cell r="Q251" t="str">
            <v>--</v>
          </cell>
          <cell r="R251" t="str">
            <v>--</v>
          </cell>
          <cell r="S251" t="str">
            <v>--</v>
          </cell>
          <cell r="T251" t="str">
            <v>--</v>
          </cell>
          <cell r="U251" t="str">
            <v>--</v>
          </cell>
          <cell r="V251" t="str">
            <v>--</v>
          </cell>
          <cell r="W251" t="str">
            <v>--</v>
          </cell>
          <cell r="X251" t="str">
            <v>--</v>
          </cell>
          <cell r="Y251" t="str">
            <v>--</v>
          </cell>
          <cell r="Z251" t="str">
            <v>--</v>
          </cell>
          <cell r="AA251" t="str">
            <v>--</v>
          </cell>
          <cell r="AB251" t="str">
            <v>--</v>
          </cell>
          <cell r="AC251" t="str">
            <v>--</v>
          </cell>
          <cell r="AD251" t="str">
            <v>--</v>
          </cell>
          <cell r="AE251" t="str">
            <v>--</v>
          </cell>
          <cell r="AF251" t="str">
            <v>--</v>
          </cell>
          <cell r="AG251" t="str">
            <v>--</v>
          </cell>
          <cell r="AH251" t="str">
            <v>--</v>
          </cell>
          <cell r="AI251" t="str">
            <v>--</v>
          </cell>
          <cell r="AJ251" t="str">
            <v>--</v>
          </cell>
          <cell r="AK251" t="str">
            <v>--</v>
          </cell>
          <cell r="AL251" t="str">
            <v>--</v>
          </cell>
          <cell r="AM251" t="str">
            <v>--</v>
          </cell>
          <cell r="AN251" t="str">
            <v>--</v>
          </cell>
          <cell r="AO251" t="str">
            <v>--</v>
          </cell>
          <cell r="AP251" t="str">
            <v>--</v>
          </cell>
          <cell r="AQ251" t="str">
            <v>--</v>
          </cell>
          <cell r="AR251" t="str">
            <v>--</v>
          </cell>
          <cell r="AS251" t="str">
            <v>--</v>
          </cell>
          <cell r="AT251" t="str">
            <v>--</v>
          </cell>
          <cell r="AU251" t="str">
            <v>--</v>
          </cell>
          <cell r="AV251" t="str">
            <v>--</v>
          </cell>
          <cell r="AW251" t="str">
            <v>--</v>
          </cell>
          <cell r="AX251" t="str">
            <v>--</v>
          </cell>
          <cell r="AY251" t="str">
            <v>--</v>
          </cell>
          <cell r="AZ251" t="str">
            <v>--</v>
          </cell>
          <cell r="BA251" t="str">
            <v>--</v>
          </cell>
          <cell r="BB251" t="str">
            <v>--</v>
          </cell>
          <cell r="BC251" t="str">
            <v>--</v>
          </cell>
          <cell r="BD251" t="str">
            <v>--</v>
          </cell>
          <cell r="BE251">
            <v>5.8</v>
          </cell>
          <cell r="BF251">
            <v>5.3</v>
          </cell>
          <cell r="BG251">
            <v>3.8</v>
          </cell>
          <cell r="BH251">
            <v>4.8</v>
          </cell>
          <cell r="BI251">
            <v>7.3</v>
          </cell>
          <cell r="BJ251">
            <v>4.4000000000000004</v>
          </cell>
          <cell r="BK251">
            <v>3.9</v>
          </cell>
          <cell r="BL251">
            <v>3.4</v>
          </cell>
          <cell r="BM251">
            <v>2.9</v>
          </cell>
          <cell r="BN251" t="str">
            <v>--</v>
          </cell>
          <cell r="BO251" t="str">
            <v>--</v>
          </cell>
          <cell r="BP251" t="str">
            <v>--</v>
          </cell>
          <cell r="BQ251" t="str">
            <v>--</v>
          </cell>
          <cell r="BR251" t="str">
            <v>--</v>
          </cell>
          <cell r="BS251" t="str">
            <v>--</v>
          </cell>
          <cell r="BT251" t="str">
            <v>--</v>
          </cell>
          <cell r="BU251" t="str">
            <v>--</v>
          </cell>
          <cell r="BV251" t="str">
            <v>--</v>
          </cell>
          <cell r="BW251" t="str">
            <v>--</v>
          </cell>
          <cell r="BX251" t="str">
            <v>--</v>
          </cell>
          <cell r="BY251" t="str">
            <v>--</v>
          </cell>
          <cell r="BZ251" t="str">
            <v>--</v>
          </cell>
          <cell r="CA251" t="str">
            <v>--</v>
          </cell>
          <cell r="CB251" t="str">
            <v>--</v>
          </cell>
          <cell r="CC251" t="str">
            <v>--</v>
          </cell>
          <cell r="CD251" t="str">
            <v>--</v>
          </cell>
          <cell r="CE251" t="str">
            <v>--</v>
          </cell>
          <cell r="CF251" t="str">
            <v>--</v>
          </cell>
          <cell r="CG251" t="str">
            <v>--</v>
          </cell>
          <cell r="CH251" t="str">
            <v>--</v>
          </cell>
          <cell r="CI251" t="str">
            <v>--</v>
          </cell>
          <cell r="CJ251" t="str">
            <v>--</v>
          </cell>
          <cell r="CK251" t="str">
            <v>--</v>
          </cell>
          <cell r="CL251" t="str">
            <v>--</v>
          </cell>
          <cell r="CM251" t="str">
            <v>--</v>
          </cell>
          <cell r="CN251" t="str">
            <v>--</v>
          </cell>
          <cell r="CO251" t="str">
            <v>--</v>
          </cell>
          <cell r="CP251" t="str">
            <v>--</v>
          </cell>
          <cell r="CQ251" t="str">
            <v>--</v>
          </cell>
          <cell r="CR251" t="str">
            <v>--</v>
          </cell>
          <cell r="CS251" t="str">
            <v>--</v>
          </cell>
          <cell r="CT251" t="str">
            <v>--</v>
          </cell>
          <cell r="CU251" t="str">
            <v>--</v>
          </cell>
          <cell r="CV251" t="str">
            <v>--</v>
          </cell>
          <cell r="CW251" t="str">
            <v>--</v>
          </cell>
          <cell r="CX251" t="str">
            <v>--</v>
          </cell>
          <cell r="CY251" t="str">
            <v>--</v>
          </cell>
          <cell r="CZ251" t="str">
            <v>--</v>
          </cell>
          <cell r="DA251" t="str">
            <v>--</v>
          </cell>
          <cell r="DB251" t="str">
            <v>--</v>
          </cell>
          <cell r="DC251" t="str">
            <v>--</v>
          </cell>
          <cell r="DD251" t="str">
            <v>--</v>
          </cell>
          <cell r="DE251" t="str">
            <v>--</v>
          </cell>
          <cell r="DF251" t="str">
            <v>--</v>
          </cell>
          <cell r="DG251" t="str">
            <v>--</v>
          </cell>
          <cell r="DH251" t="str">
            <v>--</v>
          </cell>
          <cell r="DI251" t="str">
            <v>--</v>
          </cell>
          <cell r="DJ251" t="str">
            <v>--</v>
          </cell>
          <cell r="DK251" t="str">
            <v>--</v>
          </cell>
          <cell r="DL251" t="str">
            <v>--</v>
          </cell>
          <cell r="DM251" t="str">
            <v>--</v>
          </cell>
          <cell r="DN251" t="str">
            <v>--</v>
          </cell>
          <cell r="DO251" t="str">
            <v>--</v>
          </cell>
          <cell r="DP251" t="str">
            <v>--</v>
          </cell>
          <cell r="DQ251" t="str">
            <v>--</v>
          </cell>
          <cell r="DR251" t="str">
            <v>--</v>
          </cell>
          <cell r="DS251" t="str">
            <v>--</v>
          </cell>
          <cell r="DT251" t="str">
            <v>--</v>
          </cell>
          <cell r="DU251" t="str">
            <v>--</v>
          </cell>
          <cell r="DV251" t="str">
            <v>--</v>
          </cell>
          <cell r="DW251" t="str">
            <v>--</v>
          </cell>
          <cell r="DX251" t="str">
            <v>--</v>
          </cell>
          <cell r="DY251" t="str">
            <v>--</v>
          </cell>
          <cell r="DZ251" t="str">
            <v>--</v>
          </cell>
          <cell r="EA251" t="str">
            <v>--</v>
          </cell>
          <cell r="EB251" t="str">
            <v>--</v>
          </cell>
          <cell r="EC251" t="str">
            <v>--</v>
          </cell>
          <cell r="ED251" t="str">
            <v>--</v>
          </cell>
          <cell r="EE251" t="str">
            <v>--</v>
          </cell>
          <cell r="EF251" t="str">
            <v>--</v>
          </cell>
          <cell r="EG251" t="str">
            <v>--</v>
          </cell>
        </row>
        <row r="252">
          <cell r="A252" t="str">
            <v>02010505Nat. Haw. or Pacif. Isl.</v>
          </cell>
          <cell r="B252" t="str">
            <v>02010505P</v>
          </cell>
          <cell r="C252" t="str">
            <v>0201</v>
          </cell>
          <cell r="D252" t="str">
            <v>02010505</v>
          </cell>
          <cell r="E252" t="str">
            <v>New Bedford</v>
          </cell>
          <cell r="F252" t="str">
            <v>New Bedford High</v>
          </cell>
          <cell r="G252" t="str">
            <v>HS</v>
          </cell>
          <cell r="H252" t="str">
            <v>New Bedford - New Bedford High (02010505)</v>
          </cell>
          <cell r="I252" t="str">
            <v>Nat. Haw. or Pacif. Isl.</v>
          </cell>
          <cell r="J252" t="str">
            <v>02010505Nat. Haw. or Pacif. Isl.</v>
          </cell>
          <cell r="K252" t="str">
            <v>Level 3</v>
          </cell>
          <cell r="L252" t="str">
            <v>--</v>
          </cell>
          <cell r="M252" t="str">
            <v>--</v>
          </cell>
          <cell r="N252" t="str">
            <v>--</v>
          </cell>
          <cell r="O252" t="str">
            <v>--</v>
          </cell>
          <cell r="P252" t="str">
            <v>--</v>
          </cell>
          <cell r="Q252" t="str">
            <v>--</v>
          </cell>
          <cell r="R252" t="str">
            <v>--</v>
          </cell>
          <cell r="S252" t="str">
            <v>--</v>
          </cell>
          <cell r="T252" t="str">
            <v>--</v>
          </cell>
          <cell r="U252" t="str">
            <v>--</v>
          </cell>
          <cell r="V252" t="str">
            <v>--</v>
          </cell>
          <cell r="W252" t="str">
            <v>--</v>
          </cell>
          <cell r="X252" t="str">
            <v>--</v>
          </cell>
          <cell r="Y252" t="str">
            <v>--</v>
          </cell>
          <cell r="Z252" t="str">
            <v>--</v>
          </cell>
          <cell r="AA252" t="str">
            <v>--</v>
          </cell>
          <cell r="AB252" t="str">
            <v>--</v>
          </cell>
          <cell r="AC252" t="str">
            <v>--</v>
          </cell>
          <cell r="AD252" t="str">
            <v>--</v>
          </cell>
          <cell r="AE252" t="str">
            <v>--</v>
          </cell>
          <cell r="AF252" t="str">
            <v>--</v>
          </cell>
          <cell r="AG252" t="str">
            <v>--</v>
          </cell>
          <cell r="AH252" t="str">
            <v>--</v>
          </cell>
          <cell r="AI252" t="str">
            <v>--</v>
          </cell>
          <cell r="AJ252" t="str">
            <v>--</v>
          </cell>
          <cell r="AK252" t="str">
            <v>--</v>
          </cell>
          <cell r="AL252" t="str">
            <v>--</v>
          </cell>
          <cell r="AM252" t="str">
            <v>--</v>
          </cell>
          <cell r="AN252" t="str">
            <v>--</v>
          </cell>
          <cell r="AO252" t="str">
            <v>--</v>
          </cell>
          <cell r="AP252" t="str">
            <v>--</v>
          </cell>
          <cell r="AQ252" t="str">
            <v>--</v>
          </cell>
          <cell r="AR252" t="str">
            <v>--</v>
          </cell>
          <cell r="AS252" t="str">
            <v>--</v>
          </cell>
          <cell r="AT252" t="str">
            <v>--</v>
          </cell>
          <cell r="AU252" t="str">
            <v>--</v>
          </cell>
          <cell r="AV252" t="str">
            <v>--</v>
          </cell>
          <cell r="AW252" t="str">
            <v>--</v>
          </cell>
          <cell r="AX252" t="str">
            <v>--</v>
          </cell>
          <cell r="AY252" t="str">
            <v>--</v>
          </cell>
          <cell r="AZ252" t="str">
            <v>--</v>
          </cell>
          <cell r="BA252" t="str">
            <v>--</v>
          </cell>
          <cell r="BB252" t="str">
            <v>--</v>
          </cell>
          <cell r="BC252" t="str">
            <v>--</v>
          </cell>
          <cell r="BD252" t="str">
            <v>--</v>
          </cell>
          <cell r="BE252">
            <v>14.8</v>
          </cell>
          <cell r="BF252">
            <v>13.6</v>
          </cell>
          <cell r="BG252">
            <v>18.2</v>
          </cell>
          <cell r="BH252">
            <v>12.3</v>
          </cell>
          <cell r="BI252">
            <v>0</v>
          </cell>
          <cell r="BJ252">
            <v>11.1</v>
          </cell>
          <cell r="BK252">
            <v>9.9</v>
          </cell>
          <cell r="BL252">
            <v>8.6</v>
          </cell>
          <cell r="BM252">
            <v>7.4</v>
          </cell>
          <cell r="BN252" t="str">
            <v>--</v>
          </cell>
          <cell r="BO252" t="str">
            <v>--</v>
          </cell>
          <cell r="BP252" t="str">
            <v>--</v>
          </cell>
          <cell r="BQ252" t="str">
            <v>--</v>
          </cell>
          <cell r="BR252" t="str">
            <v>--</v>
          </cell>
          <cell r="BS252" t="str">
            <v>--</v>
          </cell>
          <cell r="BT252" t="str">
            <v>--</v>
          </cell>
          <cell r="BU252" t="str">
            <v>--</v>
          </cell>
          <cell r="BV252" t="str">
            <v>--</v>
          </cell>
          <cell r="BW252" t="str">
            <v>--</v>
          </cell>
          <cell r="BX252" t="str">
            <v>--</v>
          </cell>
          <cell r="BY252" t="str">
            <v>--</v>
          </cell>
          <cell r="BZ252" t="str">
            <v>--</v>
          </cell>
          <cell r="CA252" t="str">
            <v>--</v>
          </cell>
          <cell r="CB252" t="str">
            <v>--</v>
          </cell>
          <cell r="CC252" t="str">
            <v>--</v>
          </cell>
          <cell r="CD252" t="str">
            <v>--</v>
          </cell>
          <cell r="CE252" t="str">
            <v>--</v>
          </cell>
          <cell r="CF252" t="str">
            <v>--</v>
          </cell>
          <cell r="CG252" t="str">
            <v>--</v>
          </cell>
          <cell r="CH252" t="str">
            <v>--</v>
          </cell>
          <cell r="CI252" t="str">
            <v>--</v>
          </cell>
          <cell r="CJ252" t="str">
            <v>--</v>
          </cell>
          <cell r="CK252" t="str">
            <v>--</v>
          </cell>
          <cell r="CL252" t="str">
            <v>--</v>
          </cell>
          <cell r="CM252" t="str">
            <v>--</v>
          </cell>
          <cell r="CN252" t="str">
            <v>--</v>
          </cell>
          <cell r="CO252" t="str">
            <v>--</v>
          </cell>
          <cell r="CP252" t="str">
            <v>--</v>
          </cell>
          <cell r="CQ252" t="str">
            <v>--</v>
          </cell>
          <cell r="CR252" t="str">
            <v>--</v>
          </cell>
          <cell r="CS252" t="str">
            <v>--</v>
          </cell>
          <cell r="CT252" t="str">
            <v>--</v>
          </cell>
          <cell r="CU252" t="str">
            <v>--</v>
          </cell>
          <cell r="CV252" t="str">
            <v>--</v>
          </cell>
          <cell r="CW252" t="str">
            <v>--</v>
          </cell>
          <cell r="CX252" t="str">
            <v>--</v>
          </cell>
          <cell r="CY252" t="str">
            <v>--</v>
          </cell>
          <cell r="CZ252" t="str">
            <v>--</v>
          </cell>
          <cell r="DA252" t="str">
            <v>--</v>
          </cell>
          <cell r="DB252" t="str">
            <v>--</v>
          </cell>
          <cell r="DC252" t="str">
            <v>--</v>
          </cell>
          <cell r="DD252" t="str">
            <v>--</v>
          </cell>
          <cell r="DE252" t="str">
            <v>--</v>
          </cell>
          <cell r="DF252" t="str">
            <v>--</v>
          </cell>
          <cell r="DG252" t="str">
            <v>--</v>
          </cell>
          <cell r="DH252" t="str">
            <v>--</v>
          </cell>
          <cell r="DI252" t="str">
            <v>--</v>
          </cell>
          <cell r="DJ252" t="str">
            <v>--</v>
          </cell>
          <cell r="DK252" t="str">
            <v>--</v>
          </cell>
          <cell r="DL252" t="str">
            <v>--</v>
          </cell>
          <cell r="DM252" t="str">
            <v>--</v>
          </cell>
          <cell r="DN252" t="str">
            <v>--</v>
          </cell>
          <cell r="DO252" t="str">
            <v>--</v>
          </cell>
          <cell r="DP252" t="str">
            <v>--</v>
          </cell>
          <cell r="DQ252" t="str">
            <v>--</v>
          </cell>
          <cell r="DR252" t="str">
            <v>--</v>
          </cell>
          <cell r="DS252" t="str">
            <v>--</v>
          </cell>
          <cell r="DT252" t="str">
            <v>--</v>
          </cell>
          <cell r="DU252" t="str">
            <v>--</v>
          </cell>
          <cell r="DV252" t="str">
            <v>--</v>
          </cell>
          <cell r="DW252" t="str">
            <v>--</v>
          </cell>
          <cell r="DX252" t="str">
            <v>--</v>
          </cell>
          <cell r="DY252" t="str">
            <v>--</v>
          </cell>
          <cell r="DZ252" t="str">
            <v>--</v>
          </cell>
          <cell r="EA252" t="str">
            <v>--</v>
          </cell>
          <cell r="EB252" t="str">
            <v>--</v>
          </cell>
          <cell r="EC252" t="str">
            <v>--</v>
          </cell>
          <cell r="ED252" t="str">
            <v>--</v>
          </cell>
          <cell r="EE252" t="str">
            <v>--</v>
          </cell>
          <cell r="EF252" t="str">
            <v>--</v>
          </cell>
          <cell r="EG252" t="str">
            <v>--</v>
          </cell>
        </row>
        <row r="253">
          <cell r="A253" t="str">
            <v>02010505High needs</v>
          </cell>
          <cell r="B253" t="str">
            <v>02010505S</v>
          </cell>
          <cell r="C253" t="str">
            <v>0201</v>
          </cell>
          <cell r="D253" t="str">
            <v>02010505</v>
          </cell>
          <cell r="E253" t="str">
            <v>New Bedford</v>
          </cell>
          <cell r="F253" t="str">
            <v>New Bedford High</v>
          </cell>
          <cell r="G253" t="str">
            <v>HS</v>
          </cell>
          <cell r="H253" t="str">
            <v>New Bedford - New Bedford High (02010505)</v>
          </cell>
          <cell r="I253" t="str">
            <v>High needs</v>
          </cell>
          <cell r="J253" t="str">
            <v>02010505High needs</v>
          </cell>
          <cell r="K253" t="str">
            <v>Level 3</v>
          </cell>
          <cell r="L253">
            <v>76</v>
          </cell>
          <cell r="M253">
            <v>78</v>
          </cell>
          <cell r="N253">
            <v>82.6</v>
          </cell>
          <cell r="O253">
            <v>80</v>
          </cell>
          <cell r="P253">
            <v>87.4</v>
          </cell>
          <cell r="Q253">
            <v>82</v>
          </cell>
          <cell r="R253">
            <v>84</v>
          </cell>
          <cell r="S253">
            <v>86</v>
          </cell>
          <cell r="T253">
            <v>88</v>
          </cell>
          <cell r="U253">
            <v>63.3</v>
          </cell>
          <cell r="V253">
            <v>66.400000000000006</v>
          </cell>
          <cell r="W253">
            <v>63.5</v>
          </cell>
          <cell r="X253">
            <v>69.400000000000006</v>
          </cell>
          <cell r="Y253">
            <v>61.9</v>
          </cell>
          <cell r="Z253">
            <v>72.5</v>
          </cell>
          <cell r="AA253">
            <v>75.5</v>
          </cell>
          <cell r="AB253">
            <v>78.599999999999994</v>
          </cell>
          <cell r="AC253">
            <v>81.7</v>
          </cell>
          <cell r="AD253">
            <v>57.6</v>
          </cell>
          <cell r="AE253">
            <v>61.1</v>
          </cell>
          <cell r="AF253">
            <v>57.7</v>
          </cell>
          <cell r="AG253">
            <v>64.7</v>
          </cell>
          <cell r="AH253">
            <v>62.2</v>
          </cell>
          <cell r="AI253">
            <v>68.2</v>
          </cell>
          <cell r="AJ253">
            <v>71.7</v>
          </cell>
          <cell r="AK253">
            <v>75.3</v>
          </cell>
          <cell r="AL253">
            <v>78.8</v>
          </cell>
          <cell r="AM253">
            <v>47.4</v>
          </cell>
          <cell r="AN253">
            <v>49.9</v>
          </cell>
          <cell r="AO253">
            <v>53</v>
          </cell>
          <cell r="AP253">
            <v>55.5</v>
          </cell>
          <cell r="AQ253">
            <v>53.4</v>
          </cell>
          <cell r="AR253">
            <v>55.9</v>
          </cell>
          <cell r="AS253">
            <v>58.4</v>
          </cell>
          <cell r="AT253">
            <v>60.9</v>
          </cell>
          <cell r="AU253">
            <v>63.4</v>
          </cell>
          <cell r="AV253">
            <v>57</v>
          </cell>
          <cell r="AW253">
            <v>59.5</v>
          </cell>
          <cell r="AX253">
            <v>53.5</v>
          </cell>
          <cell r="AY253">
            <v>56</v>
          </cell>
          <cell r="AZ253">
            <v>58.6</v>
          </cell>
          <cell r="BA253">
            <v>61.1</v>
          </cell>
          <cell r="BB253">
            <v>63.6</v>
          </cell>
          <cell r="BC253">
            <v>66.099999999999994</v>
          </cell>
          <cell r="BD253">
            <v>68.599999999999994</v>
          </cell>
          <cell r="BE253">
            <v>7.8</v>
          </cell>
          <cell r="BF253">
            <v>7.2</v>
          </cell>
          <cell r="BG253">
            <v>7.2</v>
          </cell>
          <cell r="BH253">
            <v>6.5</v>
          </cell>
          <cell r="BI253">
            <v>6.1</v>
          </cell>
          <cell r="BJ253">
            <v>5.9</v>
          </cell>
          <cell r="BK253">
            <v>5.2</v>
          </cell>
          <cell r="BL253">
            <v>4.5999999999999996</v>
          </cell>
          <cell r="BM253">
            <v>3.9</v>
          </cell>
          <cell r="BN253">
            <v>29</v>
          </cell>
          <cell r="BO253">
            <v>39</v>
          </cell>
          <cell r="BP253">
            <v>27</v>
          </cell>
          <cell r="BQ253">
            <v>37</v>
          </cell>
          <cell r="BR253">
            <v>40</v>
          </cell>
          <cell r="BS253">
            <v>50</v>
          </cell>
          <cell r="BT253">
            <v>51</v>
          </cell>
          <cell r="BU253">
            <v>51</v>
          </cell>
          <cell r="BV253">
            <v>51</v>
          </cell>
          <cell r="BW253">
            <v>26</v>
          </cell>
          <cell r="BX253">
            <v>36</v>
          </cell>
          <cell r="BY253">
            <v>17</v>
          </cell>
          <cell r="BZ253">
            <v>27</v>
          </cell>
          <cell r="CA253">
            <v>23</v>
          </cell>
          <cell r="CB253">
            <v>33</v>
          </cell>
          <cell r="CC253">
            <v>43</v>
          </cell>
          <cell r="CD253">
            <v>51</v>
          </cell>
          <cell r="CE253">
            <v>51</v>
          </cell>
          <cell r="CF253">
            <v>10.199999999999999</v>
          </cell>
          <cell r="CG253">
            <v>9.1999999999999993</v>
          </cell>
          <cell r="CH253">
            <v>6.8</v>
          </cell>
          <cell r="CI253">
            <v>6.1</v>
          </cell>
          <cell r="CJ253">
            <v>5.0999999999999996</v>
          </cell>
          <cell r="CK253">
            <v>4.5999999999999996</v>
          </cell>
          <cell r="CL253">
            <v>4.0999999999999996</v>
          </cell>
          <cell r="CM253">
            <v>3.7</v>
          </cell>
          <cell r="CN253">
            <v>3.3</v>
          </cell>
          <cell r="CO253">
            <v>26.2</v>
          </cell>
          <cell r="CP253">
            <v>23.6</v>
          </cell>
          <cell r="CQ253">
            <v>26.4</v>
          </cell>
          <cell r="CR253">
            <v>23.8</v>
          </cell>
          <cell r="CS253">
            <v>30.6</v>
          </cell>
          <cell r="CT253">
            <v>27.5</v>
          </cell>
          <cell r="CU253">
            <v>24.8</v>
          </cell>
          <cell r="CV253">
            <v>22.3</v>
          </cell>
          <cell r="CW253">
            <v>20.100000000000001</v>
          </cell>
          <cell r="CX253">
            <v>32.1</v>
          </cell>
          <cell r="CY253">
            <v>28.9</v>
          </cell>
          <cell r="CZ253">
            <v>26.9</v>
          </cell>
          <cell r="DA253">
            <v>24.2</v>
          </cell>
          <cell r="DB253">
            <v>21.5</v>
          </cell>
          <cell r="DC253">
            <v>19.399999999999999</v>
          </cell>
          <cell r="DD253">
            <v>17.399999999999999</v>
          </cell>
          <cell r="DE253">
            <v>15.7</v>
          </cell>
          <cell r="DF253">
            <v>14.1</v>
          </cell>
          <cell r="DG253">
            <v>2.8</v>
          </cell>
          <cell r="DH253">
            <v>3.1</v>
          </cell>
          <cell r="DI253">
            <v>2.4</v>
          </cell>
          <cell r="DJ253">
            <v>2.6</v>
          </cell>
          <cell r="DK253">
            <v>8</v>
          </cell>
          <cell r="DL253">
            <v>8.8000000000000007</v>
          </cell>
          <cell r="DM253">
            <v>9.6999999999999993</v>
          </cell>
          <cell r="DN253">
            <v>10.6</v>
          </cell>
          <cell r="DO253">
            <v>11.7</v>
          </cell>
          <cell r="DP253">
            <v>9.8000000000000007</v>
          </cell>
          <cell r="DQ253">
            <v>10.8</v>
          </cell>
          <cell r="DR253">
            <v>10.5</v>
          </cell>
          <cell r="DS253">
            <v>11.6</v>
          </cell>
          <cell r="DT253">
            <v>14</v>
          </cell>
          <cell r="DU253">
            <v>15.4</v>
          </cell>
          <cell r="DV253">
            <v>16.899999999999999</v>
          </cell>
          <cell r="DW253">
            <v>18.600000000000001</v>
          </cell>
          <cell r="DX253">
            <v>20.5</v>
          </cell>
          <cell r="DY253">
            <v>2.2999999999999998</v>
          </cell>
          <cell r="DZ253">
            <v>2.5</v>
          </cell>
          <cell r="EA253">
            <v>1.1000000000000001</v>
          </cell>
          <cell r="EB253">
            <v>1.2</v>
          </cell>
          <cell r="EC253">
            <v>2.2999999999999998</v>
          </cell>
          <cell r="ED253">
            <v>2.5</v>
          </cell>
          <cell r="EE253">
            <v>2.8</v>
          </cell>
          <cell r="EF253">
            <v>3.1</v>
          </cell>
          <cell r="EG253">
            <v>3.4</v>
          </cell>
        </row>
        <row r="254">
          <cell r="A254" t="str">
            <v>02010505All students</v>
          </cell>
          <cell r="B254" t="str">
            <v>02010505T</v>
          </cell>
          <cell r="C254" t="str">
            <v>0201</v>
          </cell>
          <cell r="D254" t="str">
            <v>02010505</v>
          </cell>
          <cell r="E254" t="str">
            <v>New Bedford</v>
          </cell>
          <cell r="F254" t="str">
            <v>New Bedford High</v>
          </cell>
          <cell r="G254" t="str">
            <v>HS</v>
          </cell>
          <cell r="H254" t="str">
            <v>New Bedford - New Bedford High (02010505)</v>
          </cell>
          <cell r="I254" t="str">
            <v>All students</v>
          </cell>
          <cell r="J254" t="str">
            <v>02010505All students</v>
          </cell>
          <cell r="K254" t="str">
            <v>Level 3</v>
          </cell>
          <cell r="L254">
            <v>81.7</v>
          </cell>
          <cell r="M254">
            <v>83.2</v>
          </cell>
          <cell r="N254">
            <v>86.3</v>
          </cell>
          <cell r="O254">
            <v>84.8</v>
          </cell>
          <cell r="P254">
            <v>90.4</v>
          </cell>
          <cell r="Q254">
            <v>86.3</v>
          </cell>
          <cell r="R254">
            <v>87.8</v>
          </cell>
          <cell r="S254">
            <v>89.3</v>
          </cell>
          <cell r="T254">
            <v>90.9</v>
          </cell>
          <cell r="U254">
            <v>70.099999999999994</v>
          </cell>
          <cell r="V254">
            <v>72.599999999999994</v>
          </cell>
          <cell r="W254">
            <v>69.900000000000006</v>
          </cell>
          <cell r="X254">
            <v>75.099999999999994</v>
          </cell>
          <cell r="Y254">
            <v>70.3</v>
          </cell>
          <cell r="Z254">
            <v>77.599999999999994</v>
          </cell>
          <cell r="AA254">
            <v>80.099999999999994</v>
          </cell>
          <cell r="AB254">
            <v>82.6</v>
          </cell>
          <cell r="AC254">
            <v>85.1</v>
          </cell>
          <cell r="AD254">
            <v>65.099999999999994</v>
          </cell>
          <cell r="AE254">
            <v>68</v>
          </cell>
          <cell r="AF254">
            <v>65.099999999999994</v>
          </cell>
          <cell r="AG254">
            <v>70.900000000000006</v>
          </cell>
          <cell r="AH254">
            <v>69.7</v>
          </cell>
          <cell r="AI254">
            <v>73.8</v>
          </cell>
          <cell r="AJ254">
            <v>76.7</v>
          </cell>
          <cell r="AK254">
            <v>79.599999999999994</v>
          </cell>
          <cell r="AL254">
            <v>82.6</v>
          </cell>
          <cell r="AM254">
            <v>55.8</v>
          </cell>
          <cell r="AN254">
            <v>58.3</v>
          </cell>
          <cell r="AO254">
            <v>58.9</v>
          </cell>
          <cell r="AP254">
            <v>61.4</v>
          </cell>
          <cell r="AQ254">
            <v>58.5</v>
          </cell>
          <cell r="AR254">
            <v>61</v>
          </cell>
          <cell r="AS254">
            <v>63.5</v>
          </cell>
          <cell r="AT254">
            <v>66</v>
          </cell>
          <cell r="AU254">
            <v>68.5</v>
          </cell>
          <cell r="AV254">
            <v>63.7</v>
          </cell>
          <cell r="AW254">
            <v>66.2</v>
          </cell>
          <cell r="AX254">
            <v>61.1</v>
          </cell>
          <cell r="AY254">
            <v>63.6</v>
          </cell>
          <cell r="AZ254">
            <v>63.6</v>
          </cell>
          <cell r="BA254">
            <v>66.099999999999994</v>
          </cell>
          <cell r="BB254">
            <v>68.599999999999994</v>
          </cell>
          <cell r="BC254">
            <v>71.099999999999994</v>
          </cell>
          <cell r="BD254">
            <v>73.599999999999994</v>
          </cell>
          <cell r="BE254">
            <v>6.7</v>
          </cell>
          <cell r="BF254">
            <v>6.1</v>
          </cell>
          <cell r="BG254">
            <v>6.4</v>
          </cell>
          <cell r="BH254">
            <v>5.6</v>
          </cell>
          <cell r="BI254">
            <v>5.3</v>
          </cell>
          <cell r="BJ254">
            <v>5</v>
          </cell>
          <cell r="BK254">
            <v>4.5</v>
          </cell>
          <cell r="BL254">
            <v>3.9</v>
          </cell>
          <cell r="BM254">
            <v>3.4</v>
          </cell>
          <cell r="BN254">
            <v>29</v>
          </cell>
          <cell r="BO254">
            <v>39</v>
          </cell>
          <cell r="BP254">
            <v>27</v>
          </cell>
          <cell r="BQ254">
            <v>37</v>
          </cell>
          <cell r="BR254">
            <v>40</v>
          </cell>
          <cell r="BS254">
            <v>50</v>
          </cell>
          <cell r="BT254">
            <v>51</v>
          </cell>
          <cell r="BU254">
            <v>51</v>
          </cell>
          <cell r="BV254">
            <v>51</v>
          </cell>
          <cell r="BW254">
            <v>26</v>
          </cell>
          <cell r="BX254">
            <v>36</v>
          </cell>
          <cell r="BY254">
            <v>18</v>
          </cell>
          <cell r="BZ254">
            <v>28</v>
          </cell>
          <cell r="CA254">
            <v>25</v>
          </cell>
          <cell r="CB254">
            <v>35</v>
          </cell>
          <cell r="CC254">
            <v>45</v>
          </cell>
          <cell r="CD254">
            <v>51</v>
          </cell>
          <cell r="CE254">
            <v>51</v>
          </cell>
          <cell r="CF254">
            <v>7.5</v>
          </cell>
          <cell r="CG254">
            <v>6.8</v>
          </cell>
          <cell r="CH254">
            <v>4.7</v>
          </cell>
          <cell r="CI254">
            <v>4.2</v>
          </cell>
          <cell r="CJ254">
            <v>3.8</v>
          </cell>
          <cell r="CK254">
            <v>3.4</v>
          </cell>
          <cell r="CL254">
            <v>3.1</v>
          </cell>
          <cell r="CM254">
            <v>2.8</v>
          </cell>
          <cell r="CN254">
            <v>2.5</v>
          </cell>
          <cell r="CO254">
            <v>20.8</v>
          </cell>
          <cell r="CP254">
            <v>18.7</v>
          </cell>
          <cell r="CQ254">
            <v>20.399999999999999</v>
          </cell>
          <cell r="CR254">
            <v>18.399999999999999</v>
          </cell>
          <cell r="CS254">
            <v>23.4</v>
          </cell>
          <cell r="CT254">
            <v>21.1</v>
          </cell>
          <cell r="CU254">
            <v>19</v>
          </cell>
          <cell r="CV254">
            <v>17.100000000000001</v>
          </cell>
          <cell r="CW254">
            <v>15.4</v>
          </cell>
          <cell r="CX254">
            <v>24.2</v>
          </cell>
          <cell r="CY254">
            <v>21.8</v>
          </cell>
          <cell r="CZ254">
            <v>20.8</v>
          </cell>
          <cell r="DA254">
            <v>18.7</v>
          </cell>
          <cell r="DB254">
            <v>15.9</v>
          </cell>
          <cell r="DC254">
            <v>14.3</v>
          </cell>
          <cell r="DD254">
            <v>12.9</v>
          </cell>
          <cell r="DE254">
            <v>11.6</v>
          </cell>
          <cell r="DF254">
            <v>10.4</v>
          </cell>
          <cell r="DG254">
            <v>7.7</v>
          </cell>
          <cell r="DH254">
            <v>8.5</v>
          </cell>
          <cell r="DI254">
            <v>8.3000000000000007</v>
          </cell>
          <cell r="DJ254">
            <v>9.1</v>
          </cell>
          <cell r="DK254">
            <v>15.6</v>
          </cell>
          <cell r="DL254">
            <v>17.2</v>
          </cell>
          <cell r="DM254">
            <v>18.899999999999999</v>
          </cell>
          <cell r="DN254">
            <v>20.8</v>
          </cell>
          <cell r="DO254">
            <v>22.8</v>
          </cell>
          <cell r="DP254">
            <v>17.399999999999999</v>
          </cell>
          <cell r="DQ254">
            <v>19.100000000000001</v>
          </cell>
          <cell r="DR254">
            <v>18</v>
          </cell>
          <cell r="DS254">
            <v>19.8</v>
          </cell>
          <cell r="DT254">
            <v>26</v>
          </cell>
          <cell r="DU254">
            <v>28.6</v>
          </cell>
          <cell r="DV254">
            <v>31.5</v>
          </cell>
          <cell r="DW254">
            <v>34.6</v>
          </cell>
          <cell r="DX254">
            <v>38.1</v>
          </cell>
          <cell r="DY254">
            <v>5.2</v>
          </cell>
          <cell r="DZ254">
            <v>5.7</v>
          </cell>
          <cell r="EA254">
            <v>4.5999999999999996</v>
          </cell>
          <cell r="EB254">
            <v>5.0999999999999996</v>
          </cell>
          <cell r="EC254">
            <v>7.8</v>
          </cell>
          <cell r="ED254">
            <v>8.6</v>
          </cell>
          <cell r="EE254">
            <v>9.4</v>
          </cell>
          <cell r="EF254">
            <v>10.4</v>
          </cell>
          <cell r="EG254">
            <v>11.4</v>
          </cell>
        </row>
        <row r="255">
          <cell r="A255" t="str">
            <v>02580005Asian</v>
          </cell>
          <cell r="B255" t="str">
            <v>02580005A</v>
          </cell>
          <cell r="C255" t="str">
            <v>0258</v>
          </cell>
          <cell r="D255" t="str">
            <v>02580005</v>
          </cell>
          <cell r="E255" t="str">
            <v>Salem</v>
          </cell>
          <cell r="F255" t="str">
            <v>Bentley</v>
          </cell>
          <cell r="G255" t="str">
            <v>ES</v>
          </cell>
          <cell r="H255" t="str">
            <v>Salem - Bentley (02580005)</v>
          </cell>
          <cell r="I255" t="str">
            <v>Asian</v>
          </cell>
          <cell r="J255" t="str">
            <v>02580005Asian</v>
          </cell>
          <cell r="K255" t="str">
            <v>--</v>
          </cell>
          <cell r="L255" t="str">
            <v>--</v>
          </cell>
          <cell r="M255" t="str">
            <v>--</v>
          </cell>
          <cell r="N255" t="str">
            <v>--</v>
          </cell>
          <cell r="O255" t="str">
            <v>--</v>
          </cell>
          <cell r="P255" t="str">
            <v>--</v>
          </cell>
          <cell r="Q255" t="str">
            <v>--</v>
          </cell>
          <cell r="R255" t="str">
            <v>--</v>
          </cell>
          <cell r="S255" t="str">
            <v>--</v>
          </cell>
          <cell r="T255" t="str">
            <v>--</v>
          </cell>
          <cell r="U255" t="str">
            <v>--</v>
          </cell>
          <cell r="V255" t="str">
            <v>--</v>
          </cell>
          <cell r="W255" t="str">
            <v>--</v>
          </cell>
          <cell r="X255" t="str">
            <v>--</v>
          </cell>
          <cell r="Y255" t="str">
            <v>--</v>
          </cell>
          <cell r="Z255" t="str">
            <v>--</v>
          </cell>
          <cell r="AA255" t="str">
            <v>--</v>
          </cell>
          <cell r="AB255" t="str">
            <v>--</v>
          </cell>
          <cell r="AC255" t="str">
            <v>--</v>
          </cell>
          <cell r="AD255" t="str">
            <v>--</v>
          </cell>
          <cell r="AE255" t="str">
            <v>--</v>
          </cell>
          <cell r="AF255" t="str">
            <v>--</v>
          </cell>
          <cell r="AG255" t="str">
            <v>--</v>
          </cell>
          <cell r="AH255" t="str">
            <v>--</v>
          </cell>
          <cell r="AI255" t="str">
            <v>--</v>
          </cell>
          <cell r="AJ255" t="str">
            <v>--</v>
          </cell>
          <cell r="AK255" t="str">
            <v>--</v>
          </cell>
          <cell r="AL255" t="str">
            <v>--</v>
          </cell>
          <cell r="AM255" t="str">
            <v>--</v>
          </cell>
          <cell r="AN255" t="str">
            <v>--</v>
          </cell>
          <cell r="AO255" t="str">
            <v>--</v>
          </cell>
          <cell r="AP255" t="str">
            <v>--</v>
          </cell>
          <cell r="AQ255" t="str">
            <v>--</v>
          </cell>
          <cell r="AR255" t="str">
            <v>--</v>
          </cell>
          <cell r="AS255" t="str">
            <v>--</v>
          </cell>
          <cell r="AT255" t="str">
            <v>--</v>
          </cell>
          <cell r="AU255" t="str">
            <v>--</v>
          </cell>
          <cell r="AV255" t="str">
            <v>--</v>
          </cell>
          <cell r="AW255" t="str">
            <v>--</v>
          </cell>
          <cell r="AX255" t="str">
            <v>--</v>
          </cell>
          <cell r="AY255" t="str">
            <v>--</v>
          </cell>
          <cell r="AZ255" t="str">
            <v>--</v>
          </cell>
          <cell r="BA255" t="str">
            <v>--</v>
          </cell>
          <cell r="BB255" t="str">
            <v>--</v>
          </cell>
          <cell r="BC255" t="str">
            <v>--</v>
          </cell>
          <cell r="BD255" t="str">
            <v>--</v>
          </cell>
          <cell r="BE255" t="str">
            <v>--</v>
          </cell>
          <cell r="BF255" t="str">
            <v>--</v>
          </cell>
          <cell r="BG255" t="str">
            <v>--</v>
          </cell>
          <cell r="BH255" t="str">
            <v>--</v>
          </cell>
          <cell r="BI255" t="str">
            <v>--</v>
          </cell>
          <cell r="BJ255" t="str">
            <v>--</v>
          </cell>
          <cell r="BK255" t="str">
            <v>--</v>
          </cell>
          <cell r="BL255" t="str">
            <v>--</v>
          </cell>
          <cell r="BM255" t="str">
            <v>--</v>
          </cell>
          <cell r="BN255" t="str">
            <v>--</v>
          </cell>
          <cell r="BO255" t="str">
            <v>--</v>
          </cell>
          <cell r="BP255" t="str">
            <v>--</v>
          </cell>
          <cell r="BQ255" t="str">
            <v>--</v>
          </cell>
          <cell r="BR255" t="str">
            <v>--</v>
          </cell>
          <cell r="BS255" t="str">
            <v>--</v>
          </cell>
          <cell r="BT255" t="str">
            <v>--</v>
          </cell>
          <cell r="BU255" t="str">
            <v>--</v>
          </cell>
          <cell r="BV255" t="str">
            <v>--</v>
          </cell>
          <cell r="BW255" t="str">
            <v>--</v>
          </cell>
          <cell r="BX255" t="str">
            <v>--</v>
          </cell>
          <cell r="BY255" t="str">
            <v>--</v>
          </cell>
          <cell r="BZ255" t="str">
            <v>--</v>
          </cell>
          <cell r="CA255" t="str">
            <v>--</v>
          </cell>
          <cell r="CB255" t="str">
            <v>--</v>
          </cell>
          <cell r="CC255" t="str">
            <v>--</v>
          </cell>
          <cell r="CD255" t="str">
            <v>--</v>
          </cell>
          <cell r="CE255" t="str">
            <v>--</v>
          </cell>
          <cell r="CF255" t="str">
            <v>--</v>
          </cell>
          <cell r="CG255" t="str">
            <v>--</v>
          </cell>
          <cell r="CH255" t="str">
            <v>--</v>
          </cell>
          <cell r="CI255" t="str">
            <v>--</v>
          </cell>
          <cell r="CJ255" t="str">
            <v>--</v>
          </cell>
          <cell r="CK255" t="str">
            <v>--</v>
          </cell>
          <cell r="CL255" t="str">
            <v>--</v>
          </cell>
          <cell r="CM255" t="str">
            <v>--</v>
          </cell>
          <cell r="CN255" t="str">
            <v>--</v>
          </cell>
          <cell r="CO255" t="str">
            <v>--</v>
          </cell>
          <cell r="CP255" t="str">
            <v>--</v>
          </cell>
          <cell r="CQ255" t="str">
            <v>--</v>
          </cell>
          <cell r="CR255" t="str">
            <v>--</v>
          </cell>
          <cell r="CS255" t="str">
            <v>--</v>
          </cell>
          <cell r="CT255" t="str">
            <v>--</v>
          </cell>
          <cell r="CU255" t="str">
            <v>--</v>
          </cell>
          <cell r="CV255" t="str">
            <v>--</v>
          </cell>
          <cell r="CW255" t="str">
            <v>--</v>
          </cell>
          <cell r="CX255" t="str">
            <v>--</v>
          </cell>
          <cell r="CY255" t="str">
            <v>--</v>
          </cell>
          <cell r="CZ255" t="str">
            <v>--</v>
          </cell>
          <cell r="DA255" t="str">
            <v>--</v>
          </cell>
          <cell r="DB255" t="str">
            <v>--</v>
          </cell>
          <cell r="DC255" t="str">
            <v>--</v>
          </cell>
          <cell r="DD255" t="str">
            <v>--</v>
          </cell>
          <cell r="DE255" t="str">
            <v>--</v>
          </cell>
          <cell r="DF255" t="str">
            <v>--</v>
          </cell>
          <cell r="DG255" t="str">
            <v>--</v>
          </cell>
          <cell r="DH255" t="str">
            <v>--</v>
          </cell>
          <cell r="DI255" t="str">
            <v>--</v>
          </cell>
          <cell r="DJ255" t="str">
            <v>--</v>
          </cell>
          <cell r="DK255" t="str">
            <v>--</v>
          </cell>
          <cell r="DL255" t="str">
            <v>--</v>
          </cell>
          <cell r="DM255" t="str">
            <v>--</v>
          </cell>
          <cell r="DN255" t="str">
            <v>--</v>
          </cell>
          <cell r="DO255" t="str">
            <v>--</v>
          </cell>
          <cell r="DP255" t="str">
            <v>--</v>
          </cell>
          <cell r="DQ255" t="str">
            <v>--</v>
          </cell>
          <cell r="DR255" t="str">
            <v>--</v>
          </cell>
          <cell r="DS255" t="str">
            <v>--</v>
          </cell>
          <cell r="DT255" t="str">
            <v>--</v>
          </cell>
          <cell r="DU255" t="str">
            <v>--</v>
          </cell>
          <cell r="DV255" t="str">
            <v>--</v>
          </cell>
          <cell r="DW255" t="str">
            <v>--</v>
          </cell>
          <cell r="DX255" t="str">
            <v>--</v>
          </cell>
          <cell r="DY255" t="str">
            <v>--</v>
          </cell>
          <cell r="DZ255" t="str">
            <v>--</v>
          </cell>
          <cell r="EA255" t="str">
            <v>--</v>
          </cell>
          <cell r="EB255" t="str">
            <v>--</v>
          </cell>
          <cell r="EC255" t="str">
            <v>--</v>
          </cell>
          <cell r="ED255" t="str">
            <v>--</v>
          </cell>
          <cell r="EE255" t="str">
            <v>--</v>
          </cell>
          <cell r="EF255" t="str">
            <v>--</v>
          </cell>
          <cell r="EG255" t="str">
            <v>--</v>
          </cell>
        </row>
        <row r="256">
          <cell r="A256" t="str">
            <v>02580005Afr. Amer/Black</v>
          </cell>
          <cell r="B256" t="str">
            <v>02580005B</v>
          </cell>
          <cell r="C256" t="str">
            <v>0258</v>
          </cell>
          <cell r="D256" t="str">
            <v>02580005</v>
          </cell>
          <cell r="E256" t="str">
            <v>Salem</v>
          </cell>
          <cell r="F256" t="str">
            <v>Bentley</v>
          </cell>
          <cell r="G256" t="str">
            <v>ES</v>
          </cell>
          <cell r="H256" t="str">
            <v>Salem - Bentley (02580005)</v>
          </cell>
          <cell r="I256" t="str">
            <v>Afr. Amer/Black</v>
          </cell>
          <cell r="J256" t="str">
            <v>02580005Afr. Amer/Black</v>
          </cell>
          <cell r="K256" t="str">
            <v>--</v>
          </cell>
          <cell r="L256" t="str">
            <v>--</v>
          </cell>
          <cell r="M256" t="str">
            <v>--</v>
          </cell>
          <cell r="N256" t="str">
            <v>--</v>
          </cell>
          <cell r="O256" t="str">
            <v>--</v>
          </cell>
          <cell r="P256" t="str">
            <v>--</v>
          </cell>
          <cell r="Q256" t="str">
            <v>--</v>
          </cell>
          <cell r="R256" t="str">
            <v>--</v>
          </cell>
          <cell r="S256" t="str">
            <v>--</v>
          </cell>
          <cell r="T256" t="str">
            <v>--</v>
          </cell>
          <cell r="U256" t="str">
            <v>--</v>
          </cell>
          <cell r="V256" t="str">
            <v>--</v>
          </cell>
          <cell r="W256" t="str">
            <v>--</v>
          </cell>
          <cell r="X256" t="str">
            <v>--</v>
          </cell>
          <cell r="Y256" t="str">
            <v>--</v>
          </cell>
          <cell r="Z256" t="str">
            <v>--</v>
          </cell>
          <cell r="AA256" t="str">
            <v>--</v>
          </cell>
          <cell r="AB256" t="str">
            <v>--</v>
          </cell>
          <cell r="AC256" t="str">
            <v>--</v>
          </cell>
          <cell r="AD256" t="str">
            <v>--</v>
          </cell>
          <cell r="AE256" t="str">
            <v>--</v>
          </cell>
          <cell r="AF256" t="str">
            <v>--</v>
          </cell>
          <cell r="AG256" t="str">
            <v>--</v>
          </cell>
          <cell r="AH256" t="str">
            <v>--</v>
          </cell>
          <cell r="AI256" t="str">
            <v>--</v>
          </cell>
          <cell r="AJ256" t="str">
            <v>--</v>
          </cell>
          <cell r="AK256" t="str">
            <v>--</v>
          </cell>
          <cell r="AL256" t="str">
            <v>--</v>
          </cell>
          <cell r="AM256" t="str">
            <v>--</v>
          </cell>
          <cell r="AN256" t="str">
            <v>--</v>
          </cell>
          <cell r="AO256" t="str">
            <v>--</v>
          </cell>
          <cell r="AP256" t="str">
            <v>--</v>
          </cell>
          <cell r="AQ256" t="str">
            <v>--</v>
          </cell>
          <cell r="AR256" t="str">
            <v>--</v>
          </cell>
          <cell r="AS256" t="str">
            <v>--</v>
          </cell>
          <cell r="AT256" t="str">
            <v>--</v>
          </cell>
          <cell r="AU256" t="str">
            <v>--</v>
          </cell>
          <cell r="AV256" t="str">
            <v>--</v>
          </cell>
          <cell r="AW256" t="str">
            <v>--</v>
          </cell>
          <cell r="AX256" t="str">
            <v>--</v>
          </cell>
          <cell r="AY256" t="str">
            <v>--</v>
          </cell>
          <cell r="AZ256" t="str">
            <v>--</v>
          </cell>
          <cell r="BA256" t="str">
            <v>--</v>
          </cell>
          <cell r="BB256" t="str">
            <v>--</v>
          </cell>
          <cell r="BC256" t="str">
            <v>--</v>
          </cell>
          <cell r="BD256" t="str">
            <v>--</v>
          </cell>
          <cell r="BE256" t="str">
            <v>--</v>
          </cell>
          <cell r="BF256" t="str">
            <v>--</v>
          </cell>
          <cell r="BG256" t="str">
            <v>--</v>
          </cell>
          <cell r="BH256" t="str">
            <v>--</v>
          </cell>
          <cell r="BI256" t="str">
            <v>--</v>
          </cell>
          <cell r="BJ256" t="str">
            <v>--</v>
          </cell>
          <cell r="BK256" t="str">
            <v>--</v>
          </cell>
          <cell r="BL256" t="str">
            <v>--</v>
          </cell>
          <cell r="BM256" t="str">
            <v>--</v>
          </cell>
          <cell r="BN256" t="str">
            <v>--</v>
          </cell>
          <cell r="BO256" t="str">
            <v>--</v>
          </cell>
          <cell r="BP256" t="str">
            <v>--</v>
          </cell>
          <cell r="BQ256" t="str">
            <v>--</v>
          </cell>
          <cell r="BR256" t="str">
            <v>--</v>
          </cell>
          <cell r="BS256" t="str">
            <v>--</v>
          </cell>
          <cell r="BT256" t="str">
            <v>--</v>
          </cell>
          <cell r="BU256" t="str">
            <v>--</v>
          </cell>
          <cell r="BV256" t="str">
            <v>--</v>
          </cell>
          <cell r="BW256" t="str">
            <v>--</v>
          </cell>
          <cell r="BX256" t="str">
            <v>--</v>
          </cell>
          <cell r="BY256" t="str">
            <v>--</v>
          </cell>
          <cell r="BZ256" t="str">
            <v>--</v>
          </cell>
          <cell r="CA256" t="str">
            <v>--</v>
          </cell>
          <cell r="CB256" t="str">
            <v>--</v>
          </cell>
          <cell r="CC256" t="str">
            <v>--</v>
          </cell>
          <cell r="CD256" t="str">
            <v>--</v>
          </cell>
          <cell r="CE256" t="str">
            <v>--</v>
          </cell>
          <cell r="CF256" t="str">
            <v>--</v>
          </cell>
          <cell r="CG256" t="str">
            <v>--</v>
          </cell>
          <cell r="CH256" t="str">
            <v>--</v>
          </cell>
          <cell r="CI256" t="str">
            <v>--</v>
          </cell>
          <cell r="CJ256" t="str">
            <v>--</v>
          </cell>
          <cell r="CK256" t="str">
            <v>--</v>
          </cell>
          <cell r="CL256" t="str">
            <v>--</v>
          </cell>
          <cell r="CM256" t="str">
            <v>--</v>
          </cell>
          <cell r="CN256" t="str">
            <v>--</v>
          </cell>
          <cell r="CO256" t="str">
            <v>--</v>
          </cell>
          <cell r="CP256" t="str">
            <v>--</v>
          </cell>
          <cell r="CQ256" t="str">
            <v>--</v>
          </cell>
          <cell r="CR256" t="str">
            <v>--</v>
          </cell>
          <cell r="CS256" t="str">
            <v>--</v>
          </cell>
          <cell r="CT256" t="str">
            <v>--</v>
          </cell>
          <cell r="CU256" t="str">
            <v>--</v>
          </cell>
          <cell r="CV256" t="str">
            <v>--</v>
          </cell>
          <cell r="CW256" t="str">
            <v>--</v>
          </cell>
          <cell r="CX256" t="str">
            <v>--</v>
          </cell>
          <cell r="CY256" t="str">
            <v>--</v>
          </cell>
          <cell r="CZ256" t="str">
            <v>--</v>
          </cell>
          <cell r="DA256" t="str">
            <v>--</v>
          </cell>
          <cell r="DB256" t="str">
            <v>--</v>
          </cell>
          <cell r="DC256" t="str">
            <v>--</v>
          </cell>
          <cell r="DD256" t="str">
            <v>--</v>
          </cell>
          <cell r="DE256" t="str">
            <v>--</v>
          </cell>
          <cell r="DF256" t="str">
            <v>--</v>
          </cell>
          <cell r="DG256" t="str">
            <v>--</v>
          </cell>
          <cell r="DH256" t="str">
            <v>--</v>
          </cell>
          <cell r="DI256" t="str">
            <v>--</v>
          </cell>
          <cell r="DJ256" t="str">
            <v>--</v>
          </cell>
          <cell r="DK256" t="str">
            <v>--</v>
          </cell>
          <cell r="DL256" t="str">
            <v>--</v>
          </cell>
          <cell r="DM256" t="str">
            <v>--</v>
          </cell>
          <cell r="DN256" t="str">
            <v>--</v>
          </cell>
          <cell r="DO256" t="str">
            <v>--</v>
          </cell>
          <cell r="DP256" t="str">
            <v>--</v>
          </cell>
          <cell r="DQ256" t="str">
            <v>--</v>
          </cell>
          <cell r="DR256" t="str">
            <v>--</v>
          </cell>
          <cell r="DS256" t="str">
            <v>--</v>
          </cell>
          <cell r="DT256" t="str">
            <v>--</v>
          </cell>
          <cell r="DU256" t="str">
            <v>--</v>
          </cell>
          <cell r="DV256" t="str">
            <v>--</v>
          </cell>
          <cell r="DW256" t="str">
            <v>--</v>
          </cell>
          <cell r="DX256" t="str">
            <v>--</v>
          </cell>
          <cell r="DY256" t="str">
            <v>--</v>
          </cell>
          <cell r="DZ256" t="str">
            <v>--</v>
          </cell>
          <cell r="EA256" t="str">
            <v>--</v>
          </cell>
          <cell r="EB256" t="str">
            <v>--</v>
          </cell>
          <cell r="EC256" t="str">
            <v>--</v>
          </cell>
          <cell r="ED256" t="str">
            <v>--</v>
          </cell>
          <cell r="EE256" t="str">
            <v>--</v>
          </cell>
          <cell r="EF256" t="str">
            <v>--</v>
          </cell>
          <cell r="EG256" t="str">
            <v>--</v>
          </cell>
        </row>
        <row r="257">
          <cell r="A257" t="str">
            <v>02580005White</v>
          </cell>
          <cell r="B257" t="str">
            <v>02580005C</v>
          </cell>
          <cell r="C257" t="str">
            <v>0258</v>
          </cell>
          <cell r="D257" t="str">
            <v>02580005</v>
          </cell>
          <cell r="E257" t="str">
            <v>Salem</v>
          </cell>
          <cell r="F257" t="str">
            <v>Bentley</v>
          </cell>
          <cell r="G257" t="str">
            <v>ES</v>
          </cell>
          <cell r="H257" t="str">
            <v>Salem - Bentley (02580005)</v>
          </cell>
          <cell r="I257" t="str">
            <v>White</v>
          </cell>
          <cell r="J257" t="str">
            <v>02580005White</v>
          </cell>
          <cell r="K257" t="str">
            <v>--</v>
          </cell>
          <cell r="L257">
            <v>75</v>
          </cell>
          <cell r="M257">
            <v>77.099999999999994</v>
          </cell>
          <cell r="N257">
            <v>75.900000000000006</v>
          </cell>
          <cell r="O257">
            <v>79.2</v>
          </cell>
          <cell r="P257">
            <v>70.2</v>
          </cell>
          <cell r="Q257">
            <v>81.3</v>
          </cell>
          <cell r="R257">
            <v>83.3</v>
          </cell>
          <cell r="S257">
            <v>85.4</v>
          </cell>
          <cell r="T257">
            <v>87.5</v>
          </cell>
          <cell r="U257">
            <v>70.8</v>
          </cell>
          <cell r="V257">
            <v>73.2</v>
          </cell>
          <cell r="W257">
            <v>71.099999999999994</v>
          </cell>
          <cell r="X257">
            <v>75.7</v>
          </cell>
          <cell r="Y257">
            <v>66.5</v>
          </cell>
          <cell r="Z257">
            <v>78.099999999999994</v>
          </cell>
          <cell r="AA257">
            <v>80.5</v>
          </cell>
          <cell r="AB257">
            <v>83</v>
          </cell>
          <cell r="AC257">
            <v>85.4</v>
          </cell>
          <cell r="AD257">
            <v>75</v>
          </cell>
          <cell r="AE257">
            <v>77.099999999999994</v>
          </cell>
          <cell r="AF257">
            <v>81.599999999999994</v>
          </cell>
          <cell r="AG257">
            <v>79.2</v>
          </cell>
          <cell r="AH257">
            <v>69.599999999999994</v>
          </cell>
          <cell r="AI257">
            <v>81.3</v>
          </cell>
          <cell r="AJ257">
            <v>83.3</v>
          </cell>
          <cell r="AK257">
            <v>85.4</v>
          </cell>
          <cell r="AL257">
            <v>87.5</v>
          </cell>
          <cell r="AM257" t="str">
            <v>--</v>
          </cell>
          <cell r="AN257" t="str">
            <v>--</v>
          </cell>
          <cell r="AO257" t="str">
            <v>--</v>
          </cell>
          <cell r="AP257" t="str">
            <v>--</v>
          </cell>
          <cell r="AQ257" t="str">
            <v>--</v>
          </cell>
          <cell r="AR257" t="str">
            <v>--</v>
          </cell>
          <cell r="AS257" t="str">
            <v>--</v>
          </cell>
          <cell r="AT257" t="str">
            <v>--</v>
          </cell>
          <cell r="AU257" t="str">
            <v>--</v>
          </cell>
          <cell r="AV257" t="str">
            <v>--</v>
          </cell>
          <cell r="AW257" t="str">
            <v>--</v>
          </cell>
          <cell r="AX257" t="str">
            <v>--</v>
          </cell>
          <cell r="AY257" t="str">
            <v>--</v>
          </cell>
          <cell r="AZ257" t="str">
            <v>--</v>
          </cell>
          <cell r="BA257" t="str">
            <v>--</v>
          </cell>
          <cell r="BB257" t="str">
            <v>--</v>
          </cell>
          <cell r="BC257" t="str">
            <v>--</v>
          </cell>
          <cell r="BD257" t="str">
            <v>--</v>
          </cell>
          <cell r="BE257" t="str">
            <v>--</v>
          </cell>
          <cell r="BF257" t="str">
            <v>--</v>
          </cell>
          <cell r="BG257" t="str">
            <v>--</v>
          </cell>
          <cell r="BH257" t="str">
            <v>--</v>
          </cell>
          <cell r="BI257" t="str">
            <v>--</v>
          </cell>
          <cell r="BJ257" t="str">
            <v>--</v>
          </cell>
          <cell r="BK257" t="str">
            <v>--</v>
          </cell>
          <cell r="BL257" t="str">
            <v>--</v>
          </cell>
          <cell r="BM257" t="str">
            <v>--</v>
          </cell>
          <cell r="BN257">
            <v>47</v>
          </cell>
          <cell r="BO257">
            <v>51</v>
          </cell>
          <cell r="BP257">
            <v>40</v>
          </cell>
          <cell r="BQ257">
            <v>50</v>
          </cell>
          <cell r="BR257">
            <v>32</v>
          </cell>
          <cell r="BS257">
            <v>42</v>
          </cell>
          <cell r="BT257">
            <v>51</v>
          </cell>
          <cell r="BU257">
            <v>51</v>
          </cell>
          <cell r="BV257">
            <v>51</v>
          </cell>
          <cell r="BW257">
            <v>30</v>
          </cell>
          <cell r="BX257">
            <v>40</v>
          </cell>
          <cell r="BY257">
            <v>57</v>
          </cell>
          <cell r="BZ257">
            <v>51</v>
          </cell>
          <cell r="CA257">
            <v>36.5</v>
          </cell>
          <cell r="CB257">
            <v>46.5</v>
          </cell>
          <cell r="CC257">
            <v>51</v>
          </cell>
          <cell r="CD257">
            <v>51</v>
          </cell>
          <cell r="CE257">
            <v>51</v>
          </cell>
          <cell r="CF257">
            <v>9</v>
          </cell>
          <cell r="CG257">
            <v>8.1</v>
          </cell>
          <cell r="CH257">
            <v>12.3</v>
          </cell>
          <cell r="CI257">
            <v>11.1</v>
          </cell>
          <cell r="CJ257">
            <v>17.5</v>
          </cell>
          <cell r="CK257">
            <v>15.8</v>
          </cell>
          <cell r="CL257">
            <v>14.2</v>
          </cell>
          <cell r="CM257">
            <v>12.8</v>
          </cell>
          <cell r="CN257">
            <v>11.5</v>
          </cell>
          <cell r="CO257">
            <v>13.6</v>
          </cell>
          <cell r="CP257">
            <v>12.2</v>
          </cell>
          <cell r="CQ257">
            <v>15.8</v>
          </cell>
          <cell r="CR257">
            <v>14.2</v>
          </cell>
          <cell r="CS257">
            <v>23.2</v>
          </cell>
          <cell r="CT257">
            <v>20.9</v>
          </cell>
          <cell r="CU257">
            <v>18.8</v>
          </cell>
          <cell r="CV257">
            <v>16.899999999999999</v>
          </cell>
          <cell r="CW257">
            <v>15.2</v>
          </cell>
          <cell r="CX257">
            <v>14.3</v>
          </cell>
          <cell r="CY257">
            <v>12.9</v>
          </cell>
          <cell r="CZ257">
            <v>0</v>
          </cell>
          <cell r="DA257">
            <v>12.9</v>
          </cell>
          <cell r="DB257">
            <v>7.1</v>
          </cell>
          <cell r="DC257" t="str">
            <v>--</v>
          </cell>
          <cell r="DD257" t="str">
            <v>--</v>
          </cell>
          <cell r="DE257" t="str">
            <v>--</v>
          </cell>
          <cell r="DF257" t="str">
            <v>--</v>
          </cell>
          <cell r="DG257">
            <v>1.5</v>
          </cell>
          <cell r="DH257">
            <v>1.7</v>
          </cell>
          <cell r="DI257">
            <v>5.3</v>
          </cell>
          <cell r="DJ257">
            <v>5.8</v>
          </cell>
          <cell r="DK257">
            <v>0</v>
          </cell>
          <cell r="DL257">
            <v>1</v>
          </cell>
          <cell r="DM257">
            <v>1.1000000000000001</v>
          </cell>
          <cell r="DN257">
            <v>1.2</v>
          </cell>
          <cell r="DO257">
            <v>1.3</v>
          </cell>
          <cell r="DP257">
            <v>4.5</v>
          </cell>
          <cell r="DQ257">
            <v>5</v>
          </cell>
          <cell r="DR257">
            <v>14</v>
          </cell>
          <cell r="DS257">
            <v>15.4</v>
          </cell>
          <cell r="DT257">
            <v>10.7</v>
          </cell>
          <cell r="DU257">
            <v>11.8</v>
          </cell>
          <cell r="DV257">
            <v>12.9</v>
          </cell>
          <cell r="DW257">
            <v>14.2</v>
          </cell>
          <cell r="DX257">
            <v>15.7</v>
          </cell>
          <cell r="DY257">
            <v>3.6</v>
          </cell>
          <cell r="DZ257">
            <v>4</v>
          </cell>
          <cell r="EA257">
            <v>15.8</v>
          </cell>
          <cell r="EB257">
            <v>4</v>
          </cell>
          <cell r="EC257">
            <v>0</v>
          </cell>
          <cell r="ED257" t="str">
            <v>--</v>
          </cell>
          <cell r="EE257" t="str">
            <v>--</v>
          </cell>
          <cell r="EF257" t="str">
            <v>--</v>
          </cell>
          <cell r="EG257" t="str">
            <v>--</v>
          </cell>
        </row>
        <row r="258">
          <cell r="A258" t="str">
            <v>02580005Students w/disabilities</v>
          </cell>
          <cell r="B258" t="str">
            <v>02580005D</v>
          </cell>
          <cell r="C258" t="str">
            <v>0258</v>
          </cell>
          <cell r="D258" t="str">
            <v>02580005</v>
          </cell>
          <cell r="E258" t="str">
            <v>Salem</v>
          </cell>
          <cell r="F258" t="str">
            <v>Bentley</v>
          </cell>
          <cell r="G258" t="str">
            <v>ES</v>
          </cell>
          <cell r="H258" t="str">
            <v>Salem - Bentley (02580005)</v>
          </cell>
          <cell r="I258" t="str">
            <v>Students w/disabilities</v>
          </cell>
          <cell r="J258" t="str">
            <v>02580005Students w/disabilities</v>
          </cell>
          <cell r="K258" t="str">
            <v>--</v>
          </cell>
          <cell r="L258">
            <v>40.4</v>
          </cell>
          <cell r="M258">
            <v>45.4</v>
          </cell>
          <cell r="N258">
            <v>36.799999999999997</v>
          </cell>
          <cell r="O258">
            <v>50.3</v>
          </cell>
          <cell r="P258">
            <v>43.4</v>
          </cell>
          <cell r="Q258">
            <v>55.3</v>
          </cell>
          <cell r="R258">
            <v>60.3</v>
          </cell>
          <cell r="S258">
            <v>65.2</v>
          </cell>
          <cell r="T258">
            <v>70.2</v>
          </cell>
          <cell r="U258">
            <v>40.4</v>
          </cell>
          <cell r="V258">
            <v>45.4</v>
          </cell>
          <cell r="W258">
            <v>33.799999999999997</v>
          </cell>
          <cell r="X258">
            <v>50.3</v>
          </cell>
          <cell r="Y258">
            <v>35.299999999999997</v>
          </cell>
          <cell r="Z258">
            <v>55.3</v>
          </cell>
          <cell r="AA258">
            <v>60.3</v>
          </cell>
          <cell r="AB258">
            <v>65.2</v>
          </cell>
          <cell r="AC258">
            <v>70.2</v>
          </cell>
          <cell r="AD258" t="str">
            <v>--</v>
          </cell>
          <cell r="AE258" t="str">
            <v>--</v>
          </cell>
          <cell r="AF258" t="str">
            <v>--</v>
          </cell>
          <cell r="AG258" t="str">
            <v>--</v>
          </cell>
          <cell r="AH258" t="str">
            <v>--</v>
          </cell>
          <cell r="AI258" t="str">
            <v>--</v>
          </cell>
          <cell r="AJ258" t="str">
            <v>--</v>
          </cell>
          <cell r="AK258" t="str">
            <v>--</v>
          </cell>
          <cell r="AL258" t="str">
            <v>--</v>
          </cell>
          <cell r="AM258" t="str">
            <v>--</v>
          </cell>
          <cell r="AN258" t="str">
            <v>--</v>
          </cell>
          <cell r="AO258" t="str">
            <v>--</v>
          </cell>
          <cell r="AP258" t="str">
            <v>--</v>
          </cell>
          <cell r="AQ258" t="str">
            <v>--</v>
          </cell>
          <cell r="AR258" t="str">
            <v>--</v>
          </cell>
          <cell r="AS258" t="str">
            <v>--</v>
          </cell>
          <cell r="AT258" t="str">
            <v>--</v>
          </cell>
          <cell r="AU258" t="str">
            <v>--</v>
          </cell>
          <cell r="AV258" t="str">
            <v>--</v>
          </cell>
          <cell r="AW258" t="str">
            <v>--</v>
          </cell>
          <cell r="AX258" t="str">
            <v>--</v>
          </cell>
          <cell r="AY258" t="str">
            <v>--</v>
          </cell>
          <cell r="AZ258" t="str">
            <v>--</v>
          </cell>
          <cell r="BA258" t="str">
            <v>--</v>
          </cell>
          <cell r="BB258" t="str">
            <v>--</v>
          </cell>
          <cell r="BC258" t="str">
            <v>--</v>
          </cell>
          <cell r="BD258" t="str">
            <v>--</v>
          </cell>
          <cell r="BE258" t="str">
            <v>--</v>
          </cell>
          <cell r="BF258" t="str">
            <v>--</v>
          </cell>
          <cell r="BG258" t="str">
            <v>--</v>
          </cell>
          <cell r="BH258" t="str">
            <v>--</v>
          </cell>
          <cell r="BI258" t="str">
            <v>--</v>
          </cell>
          <cell r="BJ258" t="str">
            <v>--</v>
          </cell>
          <cell r="BK258" t="str">
            <v>--</v>
          </cell>
          <cell r="BL258" t="str">
            <v>--</v>
          </cell>
          <cell r="BM258" t="str">
            <v>--</v>
          </cell>
          <cell r="BN258" t="str">
            <v>--</v>
          </cell>
          <cell r="BO258" t="str">
            <v>--</v>
          </cell>
          <cell r="BP258" t="str">
            <v>--</v>
          </cell>
          <cell r="BQ258" t="str">
            <v>--</v>
          </cell>
          <cell r="BR258" t="str">
            <v>--</v>
          </cell>
          <cell r="BS258" t="str">
            <v>--</v>
          </cell>
          <cell r="BT258" t="str">
            <v>--</v>
          </cell>
          <cell r="BU258" t="str">
            <v>--</v>
          </cell>
          <cell r="BV258" t="str">
            <v>--</v>
          </cell>
          <cell r="BW258" t="str">
            <v>--</v>
          </cell>
          <cell r="BX258" t="str">
            <v>--</v>
          </cell>
          <cell r="BY258" t="str">
            <v>--</v>
          </cell>
          <cell r="BZ258" t="str">
            <v>--</v>
          </cell>
          <cell r="CA258" t="str">
            <v>--</v>
          </cell>
          <cell r="CB258" t="str">
            <v>--</v>
          </cell>
          <cell r="CC258" t="str">
            <v>--</v>
          </cell>
          <cell r="CD258" t="str">
            <v>--</v>
          </cell>
          <cell r="CE258" t="str">
            <v>--</v>
          </cell>
          <cell r="CF258">
            <v>58.8</v>
          </cell>
          <cell r="CG258">
            <v>52.9</v>
          </cell>
          <cell r="CH258">
            <v>58.8</v>
          </cell>
          <cell r="CI258">
            <v>52.9</v>
          </cell>
          <cell r="CJ258">
            <v>52.9</v>
          </cell>
          <cell r="CK258">
            <v>47.6</v>
          </cell>
          <cell r="CL258">
            <v>42.8</v>
          </cell>
          <cell r="CM258">
            <v>38.6</v>
          </cell>
          <cell r="CN258">
            <v>34.700000000000003</v>
          </cell>
          <cell r="CO258">
            <v>58.8</v>
          </cell>
          <cell r="CP258">
            <v>52.9</v>
          </cell>
          <cell r="CQ258">
            <v>64.7</v>
          </cell>
          <cell r="CR258">
            <v>58.2</v>
          </cell>
          <cell r="CS258">
            <v>64.7</v>
          </cell>
          <cell r="CT258">
            <v>58.2</v>
          </cell>
          <cell r="CU258">
            <v>52.4</v>
          </cell>
          <cell r="CV258">
            <v>47.2</v>
          </cell>
          <cell r="CW258">
            <v>42.4</v>
          </cell>
          <cell r="CX258" t="str">
            <v>--</v>
          </cell>
          <cell r="CY258" t="str">
            <v>--</v>
          </cell>
          <cell r="CZ258" t="str">
            <v>--</v>
          </cell>
          <cell r="DA258" t="str">
            <v>--</v>
          </cell>
          <cell r="DB258" t="str">
            <v>--</v>
          </cell>
          <cell r="DC258" t="str">
            <v>--</v>
          </cell>
          <cell r="DD258" t="str">
            <v>--</v>
          </cell>
          <cell r="DE258" t="str">
            <v>--</v>
          </cell>
          <cell r="DF258" t="str">
            <v>--</v>
          </cell>
          <cell r="DG258">
            <v>0</v>
          </cell>
          <cell r="DH258">
            <v>1</v>
          </cell>
          <cell r="DI258">
            <v>0</v>
          </cell>
          <cell r="DJ258">
            <v>1</v>
          </cell>
          <cell r="DK258">
            <v>0</v>
          </cell>
          <cell r="DL258">
            <v>1</v>
          </cell>
          <cell r="DM258">
            <v>1.1000000000000001</v>
          </cell>
          <cell r="DN258">
            <v>1.2</v>
          </cell>
          <cell r="DO258">
            <v>1.3</v>
          </cell>
          <cell r="DP258">
            <v>0</v>
          </cell>
          <cell r="DQ258">
            <v>1</v>
          </cell>
          <cell r="DR258">
            <v>0</v>
          </cell>
          <cell r="DS258">
            <v>1</v>
          </cell>
          <cell r="DT258">
            <v>0</v>
          </cell>
          <cell r="DU258">
            <v>1</v>
          </cell>
          <cell r="DV258">
            <v>1.1000000000000001</v>
          </cell>
          <cell r="DW258">
            <v>1.2</v>
          </cell>
          <cell r="DX258">
            <v>1.3</v>
          </cell>
          <cell r="DY258" t="str">
            <v>--</v>
          </cell>
          <cell r="DZ258" t="str">
            <v>--</v>
          </cell>
          <cell r="EA258" t="str">
            <v>--</v>
          </cell>
          <cell r="EB258" t="str">
            <v>--</v>
          </cell>
          <cell r="EC258" t="str">
            <v>--</v>
          </cell>
          <cell r="ED258" t="str">
            <v>--</v>
          </cell>
          <cell r="EE258" t="str">
            <v>--</v>
          </cell>
          <cell r="EF258" t="str">
            <v>--</v>
          </cell>
          <cell r="EG258" t="str">
            <v>--</v>
          </cell>
        </row>
        <row r="259">
          <cell r="A259" t="str">
            <v>02580005Low income</v>
          </cell>
          <cell r="B259" t="str">
            <v>02580005F</v>
          </cell>
          <cell r="C259" t="str">
            <v>0258</v>
          </cell>
          <cell r="D259" t="str">
            <v>02580005</v>
          </cell>
          <cell r="E259" t="str">
            <v>Salem</v>
          </cell>
          <cell r="F259" t="str">
            <v>Bentley</v>
          </cell>
          <cell r="G259" t="str">
            <v>ES</v>
          </cell>
          <cell r="H259" t="str">
            <v>Salem - Bentley (02580005)</v>
          </cell>
          <cell r="I259" t="str">
            <v>Low income</v>
          </cell>
          <cell r="J259" t="str">
            <v>02580005Low income</v>
          </cell>
          <cell r="K259" t="str">
            <v>--</v>
          </cell>
          <cell r="L259">
            <v>55.3</v>
          </cell>
          <cell r="M259">
            <v>59</v>
          </cell>
          <cell r="N259">
            <v>60.4</v>
          </cell>
          <cell r="O259">
            <v>62.8</v>
          </cell>
          <cell r="P259">
            <v>55.9</v>
          </cell>
          <cell r="Q259">
            <v>66.5</v>
          </cell>
          <cell r="R259">
            <v>70.2</v>
          </cell>
          <cell r="S259">
            <v>73.900000000000006</v>
          </cell>
          <cell r="T259">
            <v>77.7</v>
          </cell>
          <cell r="U259">
            <v>52.9</v>
          </cell>
          <cell r="V259">
            <v>56.8</v>
          </cell>
          <cell r="W259">
            <v>54.2</v>
          </cell>
          <cell r="X259">
            <v>60.8</v>
          </cell>
          <cell r="Y259">
            <v>55.2</v>
          </cell>
          <cell r="Z259">
            <v>64.7</v>
          </cell>
          <cell r="AA259">
            <v>68.599999999999994</v>
          </cell>
          <cell r="AB259">
            <v>72.5</v>
          </cell>
          <cell r="AC259">
            <v>76.5</v>
          </cell>
          <cell r="AD259">
            <v>58.6</v>
          </cell>
          <cell r="AE259">
            <v>62.1</v>
          </cell>
          <cell r="AF259">
            <v>54.7</v>
          </cell>
          <cell r="AG259">
            <v>65.5</v>
          </cell>
          <cell r="AH259">
            <v>47.9</v>
          </cell>
          <cell r="AI259">
            <v>69</v>
          </cell>
          <cell r="AJ259">
            <v>72.400000000000006</v>
          </cell>
          <cell r="AK259">
            <v>75.900000000000006</v>
          </cell>
          <cell r="AL259">
            <v>79.3</v>
          </cell>
          <cell r="AM259" t="str">
            <v>--</v>
          </cell>
          <cell r="AN259" t="str">
            <v>--</v>
          </cell>
          <cell r="AO259" t="str">
            <v>--</v>
          </cell>
          <cell r="AP259" t="str">
            <v>--</v>
          </cell>
          <cell r="AQ259" t="str">
            <v>--</v>
          </cell>
          <cell r="AR259" t="str">
            <v>--</v>
          </cell>
          <cell r="AS259" t="str">
            <v>--</v>
          </cell>
          <cell r="AT259" t="str">
            <v>--</v>
          </cell>
          <cell r="AU259" t="str">
            <v>--</v>
          </cell>
          <cell r="AV259" t="str">
            <v>--</v>
          </cell>
          <cell r="AW259" t="str">
            <v>--</v>
          </cell>
          <cell r="AX259" t="str">
            <v>--</v>
          </cell>
          <cell r="AY259" t="str">
            <v>--</v>
          </cell>
          <cell r="AZ259" t="str">
            <v>--</v>
          </cell>
          <cell r="BA259" t="str">
            <v>--</v>
          </cell>
          <cell r="BB259" t="str">
            <v>--</v>
          </cell>
          <cell r="BC259" t="str">
            <v>--</v>
          </cell>
          <cell r="BD259" t="str">
            <v>--</v>
          </cell>
          <cell r="BE259" t="str">
            <v>--</v>
          </cell>
          <cell r="BF259" t="str">
            <v>--</v>
          </cell>
          <cell r="BG259" t="str">
            <v>--</v>
          </cell>
          <cell r="BH259" t="str">
            <v>--</v>
          </cell>
          <cell r="BI259" t="str">
            <v>--</v>
          </cell>
          <cell r="BJ259" t="str">
            <v>--</v>
          </cell>
          <cell r="BK259" t="str">
            <v>--</v>
          </cell>
          <cell r="BL259" t="str">
            <v>--</v>
          </cell>
          <cell r="BM259" t="str">
            <v>--</v>
          </cell>
          <cell r="BN259">
            <v>31</v>
          </cell>
          <cell r="BO259">
            <v>41</v>
          </cell>
          <cell r="BP259">
            <v>49</v>
          </cell>
          <cell r="BQ259">
            <v>51</v>
          </cell>
          <cell r="BR259">
            <v>51</v>
          </cell>
          <cell r="BS259">
            <v>51</v>
          </cell>
          <cell r="BT259">
            <v>51</v>
          </cell>
          <cell r="BU259">
            <v>51</v>
          </cell>
          <cell r="BV259">
            <v>51</v>
          </cell>
          <cell r="BW259">
            <v>32</v>
          </cell>
          <cell r="BX259">
            <v>42</v>
          </cell>
          <cell r="BY259">
            <v>51</v>
          </cell>
          <cell r="BZ259">
            <v>51</v>
          </cell>
          <cell r="CA259">
            <v>35</v>
          </cell>
          <cell r="CB259">
            <v>45</v>
          </cell>
          <cell r="CC259">
            <v>51</v>
          </cell>
          <cell r="CD259">
            <v>51</v>
          </cell>
          <cell r="CE259">
            <v>51</v>
          </cell>
          <cell r="CF259">
            <v>39.799999999999997</v>
          </cell>
          <cell r="CG259">
            <v>35.799999999999997</v>
          </cell>
          <cell r="CH259">
            <v>26.5</v>
          </cell>
          <cell r="CI259">
            <v>23.9</v>
          </cell>
          <cell r="CJ259">
            <v>35.1</v>
          </cell>
          <cell r="CK259">
            <v>31.6</v>
          </cell>
          <cell r="CL259">
            <v>28.4</v>
          </cell>
          <cell r="CM259">
            <v>25.6</v>
          </cell>
          <cell r="CN259">
            <v>23</v>
          </cell>
          <cell r="CO259">
            <v>39.299999999999997</v>
          </cell>
          <cell r="CP259">
            <v>35.4</v>
          </cell>
          <cell r="CQ259">
            <v>39.5</v>
          </cell>
          <cell r="CR259">
            <v>35.6</v>
          </cell>
          <cell r="CS259">
            <v>36.4</v>
          </cell>
          <cell r="CT259">
            <v>32.799999999999997</v>
          </cell>
          <cell r="CU259">
            <v>29.5</v>
          </cell>
          <cell r="CV259">
            <v>26.5</v>
          </cell>
          <cell r="CW259">
            <v>23.9</v>
          </cell>
          <cell r="CX259">
            <v>34.4</v>
          </cell>
          <cell r="CY259">
            <v>31</v>
          </cell>
          <cell r="CZ259">
            <v>32.4</v>
          </cell>
          <cell r="DA259">
            <v>29.2</v>
          </cell>
          <cell r="DB259">
            <v>37.1</v>
          </cell>
          <cell r="DC259">
            <v>33.4</v>
          </cell>
          <cell r="DD259">
            <v>30.1</v>
          </cell>
          <cell r="DE259">
            <v>27</v>
          </cell>
          <cell r="DF259">
            <v>24.3</v>
          </cell>
          <cell r="DG259">
            <v>0.9</v>
          </cell>
          <cell r="DH259">
            <v>1</v>
          </cell>
          <cell r="DI259">
            <v>2.7</v>
          </cell>
          <cell r="DJ259">
            <v>3</v>
          </cell>
          <cell r="DK259">
            <v>0</v>
          </cell>
          <cell r="DL259">
            <v>1</v>
          </cell>
          <cell r="DM259">
            <v>1.1000000000000001</v>
          </cell>
          <cell r="DN259">
            <v>1.2</v>
          </cell>
          <cell r="DO259">
            <v>1.3</v>
          </cell>
          <cell r="DP259">
            <v>0.9</v>
          </cell>
          <cell r="DQ259">
            <v>1</v>
          </cell>
          <cell r="DR259">
            <v>2.6</v>
          </cell>
          <cell r="DS259">
            <v>2.9</v>
          </cell>
          <cell r="DT259">
            <v>4.5</v>
          </cell>
          <cell r="DU259">
            <v>5</v>
          </cell>
          <cell r="DV259">
            <v>5.4</v>
          </cell>
          <cell r="DW259">
            <v>6</v>
          </cell>
          <cell r="DX259">
            <v>6.6</v>
          </cell>
          <cell r="DY259">
            <v>6.3</v>
          </cell>
          <cell r="DZ259">
            <v>6.9</v>
          </cell>
          <cell r="EA259">
            <v>2.7</v>
          </cell>
          <cell r="EB259">
            <v>3</v>
          </cell>
          <cell r="EC259">
            <v>0</v>
          </cell>
          <cell r="ED259">
            <v>1</v>
          </cell>
          <cell r="EE259">
            <v>1.1000000000000001</v>
          </cell>
          <cell r="EF259">
            <v>1.2</v>
          </cell>
          <cell r="EG259">
            <v>1.3</v>
          </cell>
        </row>
        <row r="260">
          <cell r="A260" t="str">
            <v>02580005Hispanic/Latino</v>
          </cell>
          <cell r="B260" t="str">
            <v>02580005H</v>
          </cell>
          <cell r="C260" t="str">
            <v>0258</v>
          </cell>
          <cell r="D260" t="str">
            <v>02580005</v>
          </cell>
          <cell r="E260" t="str">
            <v>Salem</v>
          </cell>
          <cell r="F260" t="str">
            <v>Bentley</v>
          </cell>
          <cell r="G260" t="str">
            <v>ES</v>
          </cell>
          <cell r="H260" t="str">
            <v>Salem - Bentley (02580005)</v>
          </cell>
          <cell r="I260" t="str">
            <v>Hispanic/Latino</v>
          </cell>
          <cell r="J260" t="str">
            <v>02580005Hispanic/Latino</v>
          </cell>
          <cell r="K260" t="str">
            <v>--</v>
          </cell>
          <cell r="L260">
            <v>51.1</v>
          </cell>
          <cell r="M260">
            <v>55.2</v>
          </cell>
          <cell r="N260">
            <v>55.2</v>
          </cell>
          <cell r="O260">
            <v>59.3</v>
          </cell>
          <cell r="P260">
            <v>52.9</v>
          </cell>
          <cell r="Q260">
            <v>63.3</v>
          </cell>
          <cell r="R260">
            <v>67.400000000000006</v>
          </cell>
          <cell r="S260">
            <v>71.5</v>
          </cell>
          <cell r="T260">
            <v>75.599999999999994</v>
          </cell>
          <cell r="U260">
            <v>47.5</v>
          </cell>
          <cell r="V260">
            <v>51.9</v>
          </cell>
          <cell r="W260">
            <v>49.7</v>
          </cell>
          <cell r="X260">
            <v>56.3</v>
          </cell>
          <cell r="Y260">
            <v>50.6</v>
          </cell>
          <cell r="Z260">
            <v>60.6</v>
          </cell>
          <cell r="AA260">
            <v>65</v>
          </cell>
          <cell r="AB260">
            <v>69.400000000000006</v>
          </cell>
          <cell r="AC260">
            <v>73.8</v>
          </cell>
          <cell r="AD260">
            <v>52.8</v>
          </cell>
          <cell r="AE260" t="str">
            <v>--</v>
          </cell>
          <cell r="AF260">
            <v>52.8</v>
          </cell>
          <cell r="AG260">
            <v>56.7</v>
          </cell>
          <cell r="AH260">
            <v>46.1</v>
          </cell>
          <cell r="AI260">
            <v>60.7</v>
          </cell>
          <cell r="AJ260">
            <v>64.599999999999994</v>
          </cell>
          <cell r="AK260">
            <v>68.5</v>
          </cell>
          <cell r="AL260">
            <v>72.5</v>
          </cell>
          <cell r="AM260" t="str">
            <v>--</v>
          </cell>
          <cell r="AN260" t="str">
            <v>--</v>
          </cell>
          <cell r="AO260" t="str">
            <v>--</v>
          </cell>
          <cell r="AP260" t="str">
            <v>--</v>
          </cell>
          <cell r="AQ260" t="str">
            <v>--</v>
          </cell>
          <cell r="AR260" t="str">
            <v>--</v>
          </cell>
          <cell r="AS260" t="str">
            <v>--</v>
          </cell>
          <cell r="AT260" t="str">
            <v>--</v>
          </cell>
          <cell r="AU260" t="str">
            <v>--</v>
          </cell>
          <cell r="AV260" t="str">
            <v>--</v>
          </cell>
          <cell r="AW260" t="str">
            <v>--</v>
          </cell>
          <cell r="AX260" t="str">
            <v>--</v>
          </cell>
          <cell r="AY260" t="str">
            <v>--</v>
          </cell>
          <cell r="AZ260" t="str">
            <v>--</v>
          </cell>
          <cell r="BA260" t="str">
            <v>--</v>
          </cell>
          <cell r="BB260" t="str">
            <v>--</v>
          </cell>
          <cell r="BC260" t="str">
            <v>--</v>
          </cell>
          <cell r="BD260" t="str">
            <v>--</v>
          </cell>
          <cell r="BE260" t="str">
            <v>--</v>
          </cell>
          <cell r="BF260" t="str">
            <v>--</v>
          </cell>
          <cell r="BG260" t="str">
            <v>--</v>
          </cell>
          <cell r="BH260" t="str">
            <v>--</v>
          </cell>
          <cell r="BI260" t="str">
            <v>--</v>
          </cell>
          <cell r="BJ260" t="str">
            <v>--</v>
          </cell>
          <cell r="BK260" t="str">
            <v>--</v>
          </cell>
          <cell r="BL260" t="str">
            <v>--</v>
          </cell>
          <cell r="BM260" t="str">
            <v>--</v>
          </cell>
          <cell r="BN260">
            <v>30.5</v>
          </cell>
          <cell r="BO260">
            <v>40.5</v>
          </cell>
          <cell r="BP260">
            <v>49</v>
          </cell>
          <cell r="BQ260">
            <v>51</v>
          </cell>
          <cell r="BR260">
            <v>46</v>
          </cell>
          <cell r="BS260">
            <v>51</v>
          </cell>
          <cell r="BT260">
            <v>51</v>
          </cell>
          <cell r="BU260">
            <v>51</v>
          </cell>
          <cell r="BV260">
            <v>51</v>
          </cell>
          <cell r="BW260">
            <v>31</v>
          </cell>
          <cell r="BX260">
            <v>41</v>
          </cell>
          <cell r="BY260">
            <v>47</v>
          </cell>
          <cell r="BZ260">
            <v>51</v>
          </cell>
          <cell r="CA260">
            <v>25</v>
          </cell>
          <cell r="CB260">
            <v>35</v>
          </cell>
          <cell r="CC260">
            <v>45</v>
          </cell>
          <cell r="CD260">
            <v>51</v>
          </cell>
          <cell r="CE260">
            <v>51</v>
          </cell>
          <cell r="CF260">
            <v>49.3</v>
          </cell>
          <cell r="CG260">
            <v>44.4</v>
          </cell>
          <cell r="CH260">
            <v>33.299999999999997</v>
          </cell>
          <cell r="CI260">
            <v>30</v>
          </cell>
          <cell r="CJ260">
            <v>39.5</v>
          </cell>
          <cell r="CK260">
            <v>35.6</v>
          </cell>
          <cell r="CL260">
            <v>32</v>
          </cell>
          <cell r="CM260">
            <v>28.8</v>
          </cell>
          <cell r="CN260">
            <v>25.9</v>
          </cell>
          <cell r="CO260">
            <v>46.4</v>
          </cell>
          <cell r="CP260">
            <v>41.8</v>
          </cell>
          <cell r="CQ260">
            <v>45.1</v>
          </cell>
          <cell r="CR260">
            <v>40.6</v>
          </cell>
          <cell r="CS260">
            <v>42.4</v>
          </cell>
          <cell r="CT260">
            <v>38.200000000000003</v>
          </cell>
          <cell r="CU260">
            <v>34.299999999999997</v>
          </cell>
          <cell r="CV260">
            <v>30.9</v>
          </cell>
          <cell r="CW260">
            <v>27.8</v>
          </cell>
          <cell r="CX260">
            <v>50</v>
          </cell>
          <cell r="CY260" t="str">
            <v>--</v>
          </cell>
          <cell r="CZ260">
            <v>37</v>
          </cell>
          <cell r="DA260">
            <v>33.299999999999997</v>
          </cell>
          <cell r="DB260">
            <v>40.6</v>
          </cell>
          <cell r="DC260">
            <v>36.5</v>
          </cell>
          <cell r="DD260">
            <v>32.9</v>
          </cell>
          <cell r="DE260">
            <v>29.6</v>
          </cell>
          <cell r="DF260">
            <v>26.6</v>
          </cell>
          <cell r="DG260">
            <v>1.4</v>
          </cell>
          <cell r="DH260">
            <v>1.5</v>
          </cell>
          <cell r="DI260">
            <v>2.5</v>
          </cell>
          <cell r="DJ260">
            <v>2.8</v>
          </cell>
          <cell r="DK260">
            <v>1.2</v>
          </cell>
          <cell r="DL260">
            <v>1.3</v>
          </cell>
          <cell r="DM260">
            <v>1.5</v>
          </cell>
          <cell r="DN260">
            <v>1.6</v>
          </cell>
          <cell r="DO260">
            <v>1.8</v>
          </cell>
          <cell r="DP260">
            <v>2.9</v>
          </cell>
          <cell r="DQ260">
            <v>3.2</v>
          </cell>
          <cell r="DR260">
            <v>1.2</v>
          </cell>
          <cell r="DS260">
            <v>1.3</v>
          </cell>
          <cell r="DT260">
            <v>3.5</v>
          </cell>
          <cell r="DU260">
            <v>3.9</v>
          </cell>
          <cell r="DV260">
            <v>4.2</v>
          </cell>
          <cell r="DW260">
            <v>4.7</v>
          </cell>
          <cell r="DX260">
            <v>5.0999999999999996</v>
          </cell>
          <cell r="DY260">
            <v>6.3</v>
          </cell>
          <cell r="DZ260" t="str">
            <v>--</v>
          </cell>
          <cell r="EA260">
            <v>3.7</v>
          </cell>
          <cell r="EB260">
            <v>4.0999999999999996</v>
          </cell>
          <cell r="EC260">
            <v>0</v>
          </cell>
          <cell r="ED260">
            <v>1</v>
          </cell>
          <cell r="EE260">
            <v>1.1000000000000001</v>
          </cell>
          <cell r="EF260">
            <v>1.2</v>
          </cell>
          <cell r="EG260">
            <v>1.3</v>
          </cell>
        </row>
        <row r="261">
          <cell r="A261" t="str">
            <v>02580005ELL and Former ELL</v>
          </cell>
          <cell r="B261" t="str">
            <v>02580005L</v>
          </cell>
          <cell r="C261" t="str">
            <v>0258</v>
          </cell>
          <cell r="D261" t="str">
            <v>02580005</v>
          </cell>
          <cell r="E261" t="str">
            <v>Salem</v>
          </cell>
          <cell r="F261" t="str">
            <v>Bentley</v>
          </cell>
          <cell r="G261" t="str">
            <v>ES</v>
          </cell>
          <cell r="H261" t="str">
            <v>Salem - Bentley (02580005)</v>
          </cell>
          <cell r="I261" t="str">
            <v>ELL and Former ELL</v>
          </cell>
          <cell r="J261" t="str">
            <v>02580005ELL and Former ELL</v>
          </cell>
          <cell r="K261" t="str">
            <v>--</v>
          </cell>
          <cell r="L261">
            <v>48.1</v>
          </cell>
          <cell r="M261">
            <v>52.4</v>
          </cell>
          <cell r="N261">
            <v>49.1</v>
          </cell>
          <cell r="O261">
            <v>56.8</v>
          </cell>
          <cell r="P261">
            <v>46</v>
          </cell>
          <cell r="Q261">
            <v>61.1</v>
          </cell>
          <cell r="R261">
            <v>65.400000000000006</v>
          </cell>
          <cell r="S261">
            <v>69.7</v>
          </cell>
          <cell r="T261">
            <v>74.099999999999994</v>
          </cell>
          <cell r="U261">
            <v>43.1</v>
          </cell>
          <cell r="V261">
            <v>47.8</v>
          </cell>
          <cell r="W261">
            <v>46.5</v>
          </cell>
          <cell r="X261">
            <v>52.6</v>
          </cell>
          <cell r="Y261">
            <v>45.6</v>
          </cell>
          <cell r="Z261">
            <v>57.3</v>
          </cell>
          <cell r="AA261">
            <v>62.1</v>
          </cell>
          <cell r="AB261">
            <v>66.8</v>
          </cell>
          <cell r="AC261">
            <v>71.599999999999994</v>
          </cell>
          <cell r="AD261">
            <v>38.1</v>
          </cell>
          <cell r="AE261" t="str">
            <v>--</v>
          </cell>
          <cell r="AF261">
            <v>46.4</v>
          </cell>
          <cell r="AG261" t="str">
            <v>--</v>
          </cell>
          <cell r="AH261">
            <v>38.1</v>
          </cell>
          <cell r="AI261">
            <v>43.3</v>
          </cell>
          <cell r="AJ261">
            <v>48.4</v>
          </cell>
          <cell r="AK261">
            <v>53.6</v>
          </cell>
          <cell r="AL261">
            <v>58.7</v>
          </cell>
          <cell r="AM261" t="str">
            <v>--</v>
          </cell>
          <cell r="AN261" t="str">
            <v>--</v>
          </cell>
          <cell r="AO261" t="str">
            <v>--</v>
          </cell>
          <cell r="AP261" t="str">
            <v>--</v>
          </cell>
          <cell r="AQ261" t="str">
            <v>--</v>
          </cell>
          <cell r="AR261" t="str">
            <v>--</v>
          </cell>
          <cell r="AS261" t="str">
            <v>--</v>
          </cell>
          <cell r="AT261" t="str">
            <v>--</v>
          </cell>
          <cell r="AU261" t="str">
            <v>--</v>
          </cell>
          <cell r="AV261" t="str">
            <v>--</v>
          </cell>
          <cell r="AW261" t="str">
            <v>--</v>
          </cell>
          <cell r="AX261" t="str">
            <v>--</v>
          </cell>
          <cell r="AY261" t="str">
            <v>--</v>
          </cell>
          <cell r="AZ261" t="str">
            <v>--</v>
          </cell>
          <cell r="BA261" t="str">
            <v>--</v>
          </cell>
          <cell r="BB261" t="str">
            <v>--</v>
          </cell>
          <cell r="BC261" t="str">
            <v>--</v>
          </cell>
          <cell r="BD261" t="str">
            <v>--</v>
          </cell>
          <cell r="BE261" t="str">
            <v>--</v>
          </cell>
          <cell r="BF261" t="str">
            <v>--</v>
          </cell>
          <cell r="BG261" t="str">
            <v>--</v>
          </cell>
          <cell r="BH261" t="str">
            <v>--</v>
          </cell>
          <cell r="BI261" t="str">
            <v>--</v>
          </cell>
          <cell r="BJ261" t="str">
            <v>--</v>
          </cell>
          <cell r="BK261" t="str">
            <v>--</v>
          </cell>
          <cell r="BL261" t="str">
            <v>--</v>
          </cell>
          <cell r="BM261" t="str">
            <v>--</v>
          </cell>
          <cell r="BN261" t="str">
            <v>--</v>
          </cell>
          <cell r="BO261" t="str">
            <v>--</v>
          </cell>
          <cell r="BP261">
            <v>49</v>
          </cell>
          <cell r="BQ261">
            <v>51</v>
          </cell>
          <cell r="BR261">
            <v>51</v>
          </cell>
          <cell r="BS261">
            <v>51</v>
          </cell>
          <cell r="BT261">
            <v>51</v>
          </cell>
          <cell r="BU261">
            <v>51</v>
          </cell>
          <cell r="BV261">
            <v>51</v>
          </cell>
          <cell r="BW261" t="str">
            <v>--</v>
          </cell>
          <cell r="BX261" t="str">
            <v>--</v>
          </cell>
          <cell r="BY261">
            <v>51</v>
          </cell>
          <cell r="BZ261">
            <v>51</v>
          </cell>
          <cell r="CA261">
            <v>37.5</v>
          </cell>
          <cell r="CB261">
            <v>47.5</v>
          </cell>
          <cell r="CC261">
            <v>51</v>
          </cell>
          <cell r="CD261">
            <v>51</v>
          </cell>
          <cell r="CE261">
            <v>51</v>
          </cell>
          <cell r="CF261">
            <v>50</v>
          </cell>
          <cell r="CG261">
            <v>45</v>
          </cell>
          <cell r="CH261">
            <v>39.299999999999997</v>
          </cell>
          <cell r="CI261">
            <v>35.4</v>
          </cell>
          <cell r="CJ261">
            <v>49.2</v>
          </cell>
          <cell r="CK261">
            <v>44.3</v>
          </cell>
          <cell r="CL261">
            <v>39.9</v>
          </cell>
          <cell r="CM261">
            <v>35.9</v>
          </cell>
          <cell r="CN261">
            <v>32.299999999999997</v>
          </cell>
          <cell r="CO261">
            <v>51.9</v>
          </cell>
          <cell r="CP261">
            <v>46.7</v>
          </cell>
          <cell r="CQ261">
            <v>47.4</v>
          </cell>
          <cell r="CR261">
            <v>42.7</v>
          </cell>
          <cell r="CS261">
            <v>49.2</v>
          </cell>
          <cell r="CT261">
            <v>44.3</v>
          </cell>
          <cell r="CU261">
            <v>39.9</v>
          </cell>
          <cell r="CV261">
            <v>35.9</v>
          </cell>
          <cell r="CW261">
            <v>32.299999999999997</v>
          </cell>
          <cell r="CX261">
            <v>66.7</v>
          </cell>
          <cell r="CY261" t="str">
            <v>--</v>
          </cell>
          <cell r="CZ261">
            <v>35.700000000000003</v>
          </cell>
          <cell r="DA261" t="str">
            <v>--</v>
          </cell>
          <cell r="DB261">
            <v>52.4</v>
          </cell>
          <cell r="DC261">
            <v>47.2</v>
          </cell>
          <cell r="DD261">
            <v>42.4</v>
          </cell>
          <cell r="DE261">
            <v>38.200000000000003</v>
          </cell>
          <cell r="DF261">
            <v>34.4</v>
          </cell>
          <cell r="DG261">
            <v>0</v>
          </cell>
          <cell r="DH261">
            <v>1</v>
          </cell>
          <cell r="DI261">
            <v>1.8</v>
          </cell>
          <cell r="DJ261">
            <v>2</v>
          </cell>
          <cell r="DK261">
            <v>0</v>
          </cell>
          <cell r="DL261">
            <v>1</v>
          </cell>
          <cell r="DM261">
            <v>1.1000000000000001</v>
          </cell>
          <cell r="DN261">
            <v>1.2</v>
          </cell>
          <cell r="DO261">
            <v>1.3</v>
          </cell>
          <cell r="DP261">
            <v>1.9</v>
          </cell>
          <cell r="DQ261">
            <v>2.1</v>
          </cell>
          <cell r="DR261">
            <v>1.8</v>
          </cell>
          <cell r="DS261">
            <v>2</v>
          </cell>
          <cell r="DT261">
            <v>3.2</v>
          </cell>
          <cell r="DU261">
            <v>3.5</v>
          </cell>
          <cell r="DV261">
            <v>3.9</v>
          </cell>
          <cell r="DW261">
            <v>4.3</v>
          </cell>
          <cell r="DX261">
            <v>4.7</v>
          </cell>
          <cell r="DY261">
            <v>0</v>
          </cell>
          <cell r="DZ261" t="str">
            <v>--</v>
          </cell>
          <cell r="EA261">
            <v>7.1</v>
          </cell>
          <cell r="EB261" t="str">
            <v>--</v>
          </cell>
          <cell r="EC261">
            <v>0</v>
          </cell>
          <cell r="ED261">
            <v>1</v>
          </cell>
          <cell r="EE261">
            <v>1.1000000000000001</v>
          </cell>
          <cell r="EF261">
            <v>1.2</v>
          </cell>
          <cell r="EG261">
            <v>1.3</v>
          </cell>
        </row>
        <row r="262">
          <cell r="A262" t="str">
            <v>02580005Multi-race, Non-Hisp./Lat.</v>
          </cell>
          <cell r="B262" t="str">
            <v>02580005M</v>
          </cell>
          <cell r="C262" t="str">
            <v>0258</v>
          </cell>
          <cell r="D262" t="str">
            <v>02580005</v>
          </cell>
          <cell r="E262" t="str">
            <v>Salem</v>
          </cell>
          <cell r="F262" t="str">
            <v>Bentley</v>
          </cell>
          <cell r="G262" t="str">
            <v>ES</v>
          </cell>
          <cell r="H262" t="str">
            <v>Salem - Bentley (02580005)</v>
          </cell>
          <cell r="I262" t="str">
            <v>Multi-race, Non-Hisp./Lat.</v>
          </cell>
          <cell r="J262" t="str">
            <v>02580005Multi-race, Non-Hisp./Lat.</v>
          </cell>
          <cell r="K262" t="str">
            <v>Level 4</v>
          </cell>
          <cell r="L262" t="str">
            <v>--</v>
          </cell>
          <cell r="M262" t="str">
            <v>--</v>
          </cell>
          <cell r="N262" t="str">
            <v>--</v>
          </cell>
          <cell r="O262" t="str">
            <v>--</v>
          </cell>
          <cell r="P262" t="str">
            <v>--</v>
          </cell>
          <cell r="Q262" t="str">
            <v>--</v>
          </cell>
          <cell r="R262" t="str">
            <v>--</v>
          </cell>
          <cell r="S262" t="str">
            <v>--</v>
          </cell>
          <cell r="T262" t="str">
            <v>--</v>
          </cell>
          <cell r="U262" t="str">
            <v>--</v>
          </cell>
          <cell r="V262" t="str">
            <v>--</v>
          </cell>
          <cell r="W262" t="str">
            <v>--</v>
          </cell>
          <cell r="X262" t="str">
            <v>--</v>
          </cell>
          <cell r="Y262" t="str">
            <v>--</v>
          </cell>
          <cell r="Z262" t="str">
            <v>--</v>
          </cell>
          <cell r="AA262" t="str">
            <v>--</v>
          </cell>
          <cell r="AB262" t="str">
            <v>--</v>
          </cell>
          <cell r="AC262" t="str">
            <v>--</v>
          </cell>
          <cell r="AD262" t="str">
            <v>--</v>
          </cell>
          <cell r="AE262" t="str">
            <v>--</v>
          </cell>
          <cell r="AF262" t="str">
            <v>--</v>
          </cell>
          <cell r="AG262" t="str">
            <v>--</v>
          </cell>
          <cell r="AH262" t="str">
            <v>--</v>
          </cell>
          <cell r="AI262" t="str">
            <v>--</v>
          </cell>
          <cell r="AJ262" t="str">
            <v>--</v>
          </cell>
          <cell r="AK262" t="str">
            <v>--</v>
          </cell>
          <cell r="AL262" t="str">
            <v>--</v>
          </cell>
          <cell r="AM262" t="str">
            <v>--</v>
          </cell>
          <cell r="AN262" t="str">
            <v>--</v>
          </cell>
          <cell r="AO262" t="str">
            <v>--</v>
          </cell>
          <cell r="AP262" t="str">
            <v>--</v>
          </cell>
          <cell r="AQ262" t="str">
            <v>--</v>
          </cell>
          <cell r="AR262" t="str">
            <v>--</v>
          </cell>
          <cell r="AS262" t="str">
            <v>--</v>
          </cell>
          <cell r="AT262" t="str">
            <v>--</v>
          </cell>
          <cell r="AU262" t="str">
            <v>--</v>
          </cell>
          <cell r="AV262" t="str">
            <v>--</v>
          </cell>
          <cell r="AW262" t="str">
            <v>--</v>
          </cell>
          <cell r="AX262" t="str">
            <v>--</v>
          </cell>
          <cell r="AY262" t="str">
            <v>--</v>
          </cell>
          <cell r="AZ262" t="str">
            <v>--</v>
          </cell>
          <cell r="BA262" t="str">
            <v>--</v>
          </cell>
          <cell r="BB262" t="str">
            <v>--</v>
          </cell>
          <cell r="BC262" t="str">
            <v>--</v>
          </cell>
          <cell r="BD262" t="str">
            <v>--</v>
          </cell>
          <cell r="BE262" t="str">
            <v>--</v>
          </cell>
          <cell r="BF262" t="str">
            <v>--</v>
          </cell>
          <cell r="BG262" t="str">
            <v>--</v>
          </cell>
          <cell r="BH262" t="str">
            <v>--</v>
          </cell>
          <cell r="BI262" t="str">
            <v>--</v>
          </cell>
          <cell r="BJ262" t="str">
            <v>--</v>
          </cell>
          <cell r="BK262" t="str">
            <v>--</v>
          </cell>
          <cell r="BL262" t="str">
            <v>--</v>
          </cell>
          <cell r="BM262" t="str">
            <v>--</v>
          </cell>
          <cell r="BN262" t="str">
            <v>--</v>
          </cell>
          <cell r="BO262" t="str">
            <v>--</v>
          </cell>
          <cell r="BP262" t="str">
            <v>--</v>
          </cell>
          <cell r="BQ262" t="str">
            <v>--</v>
          </cell>
          <cell r="BR262" t="str">
            <v>--</v>
          </cell>
          <cell r="BS262" t="str">
            <v>--</v>
          </cell>
          <cell r="BT262" t="str">
            <v>--</v>
          </cell>
          <cell r="BU262" t="str">
            <v>--</v>
          </cell>
          <cell r="BV262" t="str">
            <v>--</v>
          </cell>
          <cell r="BW262" t="str">
            <v>--</v>
          </cell>
          <cell r="BX262" t="str">
            <v>--</v>
          </cell>
          <cell r="BY262" t="str">
            <v>--</v>
          </cell>
          <cell r="BZ262" t="str">
            <v>--</v>
          </cell>
          <cell r="CA262" t="str">
            <v>--</v>
          </cell>
          <cell r="CB262" t="str">
            <v>--</v>
          </cell>
          <cell r="CC262" t="str">
            <v>--</v>
          </cell>
          <cell r="CD262" t="str">
            <v>--</v>
          </cell>
          <cell r="CE262" t="str">
            <v>--</v>
          </cell>
          <cell r="CF262" t="str">
            <v>--</v>
          </cell>
          <cell r="CG262" t="str">
            <v>--</v>
          </cell>
          <cell r="CH262" t="str">
            <v>--</v>
          </cell>
          <cell r="CI262" t="str">
            <v>--</v>
          </cell>
          <cell r="CJ262" t="str">
            <v>--</v>
          </cell>
          <cell r="CK262" t="str">
            <v>--</v>
          </cell>
          <cell r="CL262" t="str">
            <v>--</v>
          </cell>
          <cell r="CM262" t="str">
            <v>--</v>
          </cell>
          <cell r="CN262" t="str">
            <v>--</v>
          </cell>
          <cell r="CO262" t="str">
            <v>--</v>
          </cell>
          <cell r="CP262" t="str">
            <v>--</v>
          </cell>
          <cell r="CQ262" t="str">
            <v>--</v>
          </cell>
          <cell r="CR262" t="str">
            <v>--</v>
          </cell>
          <cell r="CS262" t="str">
            <v>--</v>
          </cell>
          <cell r="CT262" t="str">
            <v>--</v>
          </cell>
          <cell r="CU262" t="str">
            <v>--</v>
          </cell>
          <cell r="CV262" t="str">
            <v>--</v>
          </cell>
          <cell r="CW262" t="str">
            <v>--</v>
          </cell>
          <cell r="CX262" t="str">
            <v>--</v>
          </cell>
          <cell r="CY262" t="str">
            <v>--</v>
          </cell>
          <cell r="CZ262" t="str">
            <v>--</v>
          </cell>
          <cell r="DA262" t="str">
            <v>--</v>
          </cell>
          <cell r="DB262" t="str">
            <v>--</v>
          </cell>
          <cell r="DC262" t="str">
            <v>--</v>
          </cell>
          <cell r="DD262" t="str">
            <v>--</v>
          </cell>
          <cell r="DE262" t="str">
            <v>--</v>
          </cell>
          <cell r="DF262" t="str">
            <v>--</v>
          </cell>
          <cell r="DG262" t="str">
            <v>--</v>
          </cell>
          <cell r="DH262" t="str">
            <v>--</v>
          </cell>
          <cell r="DI262" t="str">
            <v>--</v>
          </cell>
          <cell r="DJ262" t="str">
            <v>--</v>
          </cell>
          <cell r="DK262" t="str">
            <v>--</v>
          </cell>
          <cell r="DL262" t="str">
            <v>--</v>
          </cell>
          <cell r="DM262" t="str">
            <v>--</v>
          </cell>
          <cell r="DN262" t="str">
            <v>--</v>
          </cell>
          <cell r="DO262" t="str">
            <v>--</v>
          </cell>
          <cell r="DP262" t="str">
            <v>--</v>
          </cell>
          <cell r="DQ262" t="str">
            <v>--</v>
          </cell>
          <cell r="DR262" t="str">
            <v>--</v>
          </cell>
          <cell r="DS262" t="str">
            <v>--</v>
          </cell>
          <cell r="DT262" t="str">
            <v>--</v>
          </cell>
          <cell r="DU262" t="str">
            <v>--</v>
          </cell>
          <cell r="DV262" t="str">
            <v>--</v>
          </cell>
          <cell r="DW262" t="str">
            <v>--</v>
          </cell>
          <cell r="DX262" t="str">
            <v>--</v>
          </cell>
          <cell r="DY262" t="str">
            <v>--</v>
          </cell>
          <cell r="DZ262" t="str">
            <v>--</v>
          </cell>
          <cell r="EA262" t="str">
            <v>--</v>
          </cell>
          <cell r="EB262" t="str">
            <v>--</v>
          </cell>
          <cell r="EC262" t="str">
            <v>--</v>
          </cell>
          <cell r="ED262" t="str">
            <v>--</v>
          </cell>
          <cell r="EE262" t="str">
            <v>--</v>
          </cell>
          <cell r="EF262" t="str">
            <v>--</v>
          </cell>
          <cell r="EG262" t="str">
            <v>--</v>
          </cell>
        </row>
        <row r="263">
          <cell r="A263" t="str">
            <v>02580005Amer. Ind. or Alaska Nat.</v>
          </cell>
          <cell r="B263" t="str">
            <v>02580005N</v>
          </cell>
          <cell r="C263" t="str">
            <v>0258</v>
          </cell>
          <cell r="D263" t="str">
            <v>02580005</v>
          </cell>
          <cell r="E263" t="str">
            <v>Salem</v>
          </cell>
          <cell r="F263" t="str">
            <v>Bentley</v>
          </cell>
          <cell r="G263" t="str">
            <v>ES</v>
          </cell>
          <cell r="H263" t="str">
            <v>Salem - Bentley (02580005)</v>
          </cell>
          <cell r="I263" t="str">
            <v>Amer. Ind. or Alaska Nat.</v>
          </cell>
          <cell r="J263" t="str">
            <v>02580005Amer. Ind. or Alaska Nat.</v>
          </cell>
          <cell r="K263" t="str">
            <v>--</v>
          </cell>
          <cell r="L263" t="str">
            <v>--</v>
          </cell>
          <cell r="M263" t="str">
            <v>--</v>
          </cell>
          <cell r="N263" t="str">
            <v>--</v>
          </cell>
          <cell r="O263" t="str">
            <v>--</v>
          </cell>
          <cell r="P263" t="str">
            <v>--</v>
          </cell>
          <cell r="Q263" t="str">
            <v>--</v>
          </cell>
          <cell r="R263" t="str">
            <v>--</v>
          </cell>
          <cell r="S263" t="str">
            <v>--</v>
          </cell>
          <cell r="T263" t="str">
            <v>--</v>
          </cell>
          <cell r="U263" t="str">
            <v>--</v>
          </cell>
          <cell r="V263" t="str">
            <v>--</v>
          </cell>
          <cell r="W263" t="str">
            <v>--</v>
          </cell>
          <cell r="X263" t="str">
            <v>--</v>
          </cell>
          <cell r="Y263" t="str">
            <v>--</v>
          </cell>
          <cell r="Z263" t="str">
            <v>--</v>
          </cell>
          <cell r="AA263" t="str">
            <v>--</v>
          </cell>
          <cell r="AB263" t="str">
            <v>--</v>
          </cell>
          <cell r="AC263" t="str">
            <v>--</v>
          </cell>
          <cell r="AD263" t="str">
            <v>--</v>
          </cell>
          <cell r="AE263" t="str">
            <v>--</v>
          </cell>
          <cell r="AF263" t="str">
            <v>--</v>
          </cell>
          <cell r="AG263" t="str">
            <v>--</v>
          </cell>
          <cell r="AH263" t="str">
            <v>--</v>
          </cell>
          <cell r="AI263" t="str">
            <v>--</v>
          </cell>
          <cell r="AJ263" t="str">
            <v>--</v>
          </cell>
          <cell r="AK263" t="str">
            <v>--</v>
          </cell>
          <cell r="AL263" t="str">
            <v>--</v>
          </cell>
          <cell r="AM263" t="str">
            <v>--</v>
          </cell>
          <cell r="AN263" t="str">
            <v>--</v>
          </cell>
          <cell r="AO263" t="str">
            <v>--</v>
          </cell>
          <cell r="AP263" t="str">
            <v>--</v>
          </cell>
          <cell r="AQ263" t="str">
            <v>--</v>
          </cell>
          <cell r="AR263" t="str">
            <v>--</v>
          </cell>
          <cell r="AS263" t="str">
            <v>--</v>
          </cell>
          <cell r="AT263" t="str">
            <v>--</v>
          </cell>
          <cell r="AU263" t="str">
            <v>--</v>
          </cell>
          <cell r="AV263" t="str">
            <v>--</v>
          </cell>
          <cell r="AW263" t="str">
            <v>--</v>
          </cell>
          <cell r="AX263" t="str">
            <v>--</v>
          </cell>
          <cell r="AY263" t="str">
            <v>--</v>
          </cell>
          <cell r="AZ263" t="str">
            <v>--</v>
          </cell>
          <cell r="BA263" t="str">
            <v>--</v>
          </cell>
          <cell r="BB263" t="str">
            <v>--</v>
          </cell>
          <cell r="BC263" t="str">
            <v>--</v>
          </cell>
          <cell r="BD263" t="str">
            <v>--</v>
          </cell>
          <cell r="BE263" t="str">
            <v>--</v>
          </cell>
          <cell r="BF263" t="str">
            <v>--</v>
          </cell>
          <cell r="BG263" t="str">
            <v>--</v>
          </cell>
          <cell r="BH263" t="str">
            <v>--</v>
          </cell>
          <cell r="BI263" t="str">
            <v>--</v>
          </cell>
          <cell r="BJ263" t="str">
            <v>--</v>
          </cell>
          <cell r="BK263" t="str">
            <v>--</v>
          </cell>
          <cell r="BL263" t="str">
            <v>--</v>
          </cell>
          <cell r="BM263" t="str">
            <v>--</v>
          </cell>
          <cell r="BN263" t="str">
            <v>--</v>
          </cell>
          <cell r="BO263" t="str">
            <v>--</v>
          </cell>
          <cell r="BP263" t="str">
            <v>--</v>
          </cell>
          <cell r="BQ263" t="str">
            <v>--</v>
          </cell>
          <cell r="BR263" t="str">
            <v>--</v>
          </cell>
          <cell r="BS263" t="str">
            <v>--</v>
          </cell>
          <cell r="BT263" t="str">
            <v>--</v>
          </cell>
          <cell r="BU263" t="str">
            <v>--</v>
          </cell>
          <cell r="BV263" t="str">
            <v>--</v>
          </cell>
          <cell r="BW263" t="str">
            <v>--</v>
          </cell>
          <cell r="BX263" t="str">
            <v>--</v>
          </cell>
          <cell r="BY263" t="str">
            <v>--</v>
          </cell>
          <cell r="BZ263" t="str">
            <v>--</v>
          </cell>
          <cell r="CA263" t="str">
            <v>--</v>
          </cell>
          <cell r="CB263" t="str">
            <v>--</v>
          </cell>
          <cell r="CC263" t="str">
            <v>--</v>
          </cell>
          <cell r="CD263" t="str">
            <v>--</v>
          </cell>
          <cell r="CE263" t="str">
            <v>--</v>
          </cell>
          <cell r="CF263" t="str">
            <v>--</v>
          </cell>
          <cell r="CG263" t="str">
            <v>--</v>
          </cell>
          <cell r="CH263" t="str">
            <v>--</v>
          </cell>
          <cell r="CI263" t="str">
            <v>--</v>
          </cell>
          <cell r="CJ263" t="str">
            <v>--</v>
          </cell>
          <cell r="CK263" t="str">
            <v>--</v>
          </cell>
          <cell r="CL263" t="str">
            <v>--</v>
          </cell>
          <cell r="CM263" t="str">
            <v>--</v>
          </cell>
          <cell r="CN263" t="str">
            <v>--</v>
          </cell>
          <cell r="CO263" t="str">
            <v>--</v>
          </cell>
          <cell r="CP263" t="str">
            <v>--</v>
          </cell>
          <cell r="CQ263" t="str">
            <v>--</v>
          </cell>
          <cell r="CR263" t="str">
            <v>--</v>
          </cell>
          <cell r="CS263" t="str">
            <v>--</v>
          </cell>
          <cell r="CT263" t="str">
            <v>--</v>
          </cell>
          <cell r="CU263" t="str">
            <v>--</v>
          </cell>
          <cell r="CV263" t="str">
            <v>--</v>
          </cell>
          <cell r="CW263" t="str">
            <v>--</v>
          </cell>
          <cell r="CX263" t="str">
            <v>--</v>
          </cell>
          <cell r="CY263" t="str">
            <v>--</v>
          </cell>
          <cell r="CZ263" t="str">
            <v>--</v>
          </cell>
          <cell r="DA263" t="str">
            <v>--</v>
          </cell>
          <cell r="DB263" t="str">
            <v>--</v>
          </cell>
          <cell r="DC263" t="str">
            <v>--</v>
          </cell>
          <cell r="DD263" t="str">
            <v>--</v>
          </cell>
          <cell r="DE263" t="str">
            <v>--</v>
          </cell>
          <cell r="DF263" t="str">
            <v>--</v>
          </cell>
          <cell r="DG263" t="str">
            <v>--</v>
          </cell>
          <cell r="DH263" t="str">
            <v>--</v>
          </cell>
          <cell r="DI263" t="str">
            <v>--</v>
          </cell>
          <cell r="DJ263" t="str">
            <v>--</v>
          </cell>
          <cell r="DK263" t="str">
            <v>--</v>
          </cell>
          <cell r="DL263" t="str">
            <v>--</v>
          </cell>
          <cell r="DM263" t="str">
            <v>--</v>
          </cell>
          <cell r="DN263" t="str">
            <v>--</v>
          </cell>
          <cell r="DO263" t="str">
            <v>--</v>
          </cell>
          <cell r="DP263" t="str">
            <v>--</v>
          </cell>
          <cell r="DQ263" t="str">
            <v>--</v>
          </cell>
          <cell r="DR263" t="str">
            <v>--</v>
          </cell>
          <cell r="DS263" t="str">
            <v>--</v>
          </cell>
          <cell r="DT263" t="str">
            <v>--</v>
          </cell>
          <cell r="DU263" t="str">
            <v>--</v>
          </cell>
          <cell r="DV263" t="str">
            <v>--</v>
          </cell>
          <cell r="DW263" t="str">
            <v>--</v>
          </cell>
          <cell r="DX263" t="str">
            <v>--</v>
          </cell>
          <cell r="DY263" t="str">
            <v>--</v>
          </cell>
          <cell r="DZ263" t="str">
            <v>--</v>
          </cell>
          <cell r="EA263" t="str">
            <v>--</v>
          </cell>
          <cell r="EB263" t="str">
            <v>--</v>
          </cell>
          <cell r="EC263" t="str">
            <v>--</v>
          </cell>
          <cell r="ED263" t="str">
            <v>--</v>
          </cell>
          <cell r="EE263" t="str">
            <v>--</v>
          </cell>
          <cell r="EF263" t="str">
            <v>--</v>
          </cell>
          <cell r="EG263" t="str">
            <v>--</v>
          </cell>
        </row>
        <row r="264">
          <cell r="A264" t="str">
            <v>02580005Nat. Haw. or Pacif. Isl.</v>
          </cell>
          <cell r="B264" t="str">
            <v>02580005P</v>
          </cell>
          <cell r="C264" t="str">
            <v>0258</v>
          </cell>
          <cell r="D264" t="str">
            <v>02580005</v>
          </cell>
          <cell r="E264" t="str">
            <v>Salem</v>
          </cell>
          <cell r="F264" t="str">
            <v>Bentley</v>
          </cell>
          <cell r="G264" t="str">
            <v>ES</v>
          </cell>
          <cell r="H264" t="str">
            <v>Salem - Bentley (02580005)</v>
          </cell>
          <cell r="I264" t="str">
            <v>Nat. Haw. or Pacif. Isl.</v>
          </cell>
          <cell r="J264" t="str">
            <v>02580005Nat. Haw. or Pacif. Isl.</v>
          </cell>
          <cell r="K264" t="str">
            <v>Level 4</v>
          </cell>
          <cell r="L264" t="str">
            <v>--</v>
          </cell>
          <cell r="M264" t="str">
            <v>--</v>
          </cell>
          <cell r="N264" t="str">
            <v>--</v>
          </cell>
          <cell r="O264" t="str">
            <v>--</v>
          </cell>
          <cell r="P264" t="str">
            <v>--</v>
          </cell>
          <cell r="Q264" t="str">
            <v>--</v>
          </cell>
          <cell r="R264" t="str">
            <v>--</v>
          </cell>
          <cell r="S264" t="str">
            <v>--</v>
          </cell>
          <cell r="T264" t="str">
            <v>--</v>
          </cell>
          <cell r="U264" t="str">
            <v>--</v>
          </cell>
          <cell r="V264" t="str">
            <v>--</v>
          </cell>
          <cell r="W264" t="str">
            <v>--</v>
          </cell>
          <cell r="X264" t="str">
            <v>--</v>
          </cell>
          <cell r="Y264" t="str">
            <v>--</v>
          </cell>
          <cell r="Z264" t="str">
            <v>--</v>
          </cell>
          <cell r="AA264" t="str">
            <v>--</v>
          </cell>
          <cell r="AB264" t="str">
            <v>--</v>
          </cell>
          <cell r="AC264" t="str">
            <v>--</v>
          </cell>
          <cell r="AD264" t="str">
            <v>--</v>
          </cell>
          <cell r="AE264" t="str">
            <v>--</v>
          </cell>
          <cell r="AF264" t="str">
            <v>--</v>
          </cell>
          <cell r="AG264" t="str">
            <v>--</v>
          </cell>
          <cell r="AH264" t="str">
            <v>--</v>
          </cell>
          <cell r="AI264" t="str">
            <v>--</v>
          </cell>
          <cell r="AJ264" t="str">
            <v>--</v>
          </cell>
          <cell r="AK264" t="str">
            <v>--</v>
          </cell>
          <cell r="AL264" t="str">
            <v>--</v>
          </cell>
          <cell r="AM264" t="str">
            <v>--</v>
          </cell>
          <cell r="AN264" t="str">
            <v>--</v>
          </cell>
          <cell r="AO264" t="str">
            <v>--</v>
          </cell>
          <cell r="AP264" t="str">
            <v>--</v>
          </cell>
          <cell r="AQ264" t="str">
            <v>--</v>
          </cell>
          <cell r="AR264" t="str">
            <v>--</v>
          </cell>
          <cell r="AS264" t="str">
            <v>--</v>
          </cell>
          <cell r="AT264" t="str">
            <v>--</v>
          </cell>
          <cell r="AU264" t="str">
            <v>--</v>
          </cell>
          <cell r="AV264" t="str">
            <v>--</v>
          </cell>
          <cell r="AW264" t="str">
            <v>--</v>
          </cell>
          <cell r="AX264" t="str">
            <v>--</v>
          </cell>
          <cell r="AY264" t="str">
            <v>--</v>
          </cell>
          <cell r="AZ264" t="str">
            <v>--</v>
          </cell>
          <cell r="BA264" t="str">
            <v>--</v>
          </cell>
          <cell r="BB264" t="str">
            <v>--</v>
          </cell>
          <cell r="BC264" t="str">
            <v>--</v>
          </cell>
          <cell r="BD264" t="str">
            <v>--</v>
          </cell>
          <cell r="BE264" t="str">
            <v>--</v>
          </cell>
          <cell r="BF264" t="str">
            <v>--</v>
          </cell>
          <cell r="BG264" t="str">
            <v>--</v>
          </cell>
          <cell r="BH264" t="str">
            <v>--</v>
          </cell>
          <cell r="BI264" t="str">
            <v>--</v>
          </cell>
          <cell r="BJ264" t="str">
            <v>--</v>
          </cell>
          <cell r="BK264" t="str">
            <v>--</v>
          </cell>
          <cell r="BL264" t="str">
            <v>--</v>
          </cell>
          <cell r="BM264" t="str">
            <v>--</v>
          </cell>
          <cell r="BN264" t="str">
            <v>--</v>
          </cell>
          <cell r="BO264" t="str">
            <v>--</v>
          </cell>
          <cell r="BP264" t="str">
            <v>--</v>
          </cell>
          <cell r="BQ264" t="str">
            <v>--</v>
          </cell>
          <cell r="BR264" t="str">
            <v>--</v>
          </cell>
          <cell r="BS264" t="str">
            <v>--</v>
          </cell>
          <cell r="BT264" t="str">
            <v>--</v>
          </cell>
          <cell r="BU264" t="str">
            <v>--</v>
          </cell>
          <cell r="BV264" t="str">
            <v>--</v>
          </cell>
          <cell r="BW264" t="str">
            <v>--</v>
          </cell>
          <cell r="BX264" t="str">
            <v>--</v>
          </cell>
          <cell r="BY264" t="str">
            <v>--</v>
          </cell>
          <cell r="BZ264" t="str">
            <v>--</v>
          </cell>
          <cell r="CA264" t="str">
            <v>--</v>
          </cell>
          <cell r="CB264" t="str">
            <v>--</v>
          </cell>
          <cell r="CC264" t="str">
            <v>--</v>
          </cell>
          <cell r="CD264" t="str">
            <v>--</v>
          </cell>
          <cell r="CE264" t="str">
            <v>--</v>
          </cell>
          <cell r="CF264" t="str">
            <v>--</v>
          </cell>
          <cell r="CG264" t="str">
            <v>--</v>
          </cell>
          <cell r="CH264" t="str">
            <v>--</v>
          </cell>
          <cell r="CI264" t="str">
            <v>--</v>
          </cell>
          <cell r="CJ264" t="str">
            <v>--</v>
          </cell>
          <cell r="CK264" t="str">
            <v>--</v>
          </cell>
          <cell r="CL264" t="str">
            <v>--</v>
          </cell>
          <cell r="CM264" t="str">
            <v>--</v>
          </cell>
          <cell r="CN264" t="str">
            <v>--</v>
          </cell>
          <cell r="CO264" t="str">
            <v>--</v>
          </cell>
          <cell r="CP264" t="str">
            <v>--</v>
          </cell>
          <cell r="CQ264" t="str">
            <v>--</v>
          </cell>
          <cell r="CR264" t="str">
            <v>--</v>
          </cell>
          <cell r="CS264" t="str">
            <v>--</v>
          </cell>
          <cell r="CT264" t="str">
            <v>--</v>
          </cell>
          <cell r="CU264" t="str">
            <v>--</v>
          </cell>
          <cell r="CV264" t="str">
            <v>--</v>
          </cell>
          <cell r="CW264" t="str">
            <v>--</v>
          </cell>
          <cell r="CX264" t="str">
            <v>--</v>
          </cell>
          <cell r="CY264" t="str">
            <v>--</v>
          </cell>
          <cell r="CZ264" t="str">
            <v>--</v>
          </cell>
          <cell r="DA264" t="str">
            <v>--</v>
          </cell>
          <cell r="DB264" t="str">
            <v>--</v>
          </cell>
          <cell r="DC264" t="str">
            <v>--</v>
          </cell>
          <cell r="DD264" t="str">
            <v>--</v>
          </cell>
          <cell r="DE264" t="str">
            <v>--</v>
          </cell>
          <cell r="DF264" t="str">
            <v>--</v>
          </cell>
          <cell r="DG264" t="str">
            <v>--</v>
          </cell>
          <cell r="DH264" t="str">
            <v>--</v>
          </cell>
          <cell r="DI264" t="str">
            <v>--</v>
          </cell>
          <cell r="DJ264" t="str">
            <v>--</v>
          </cell>
          <cell r="DK264" t="str">
            <v>--</v>
          </cell>
          <cell r="DL264" t="str">
            <v>--</v>
          </cell>
          <cell r="DM264" t="str">
            <v>--</v>
          </cell>
          <cell r="DN264" t="str">
            <v>--</v>
          </cell>
          <cell r="DO264" t="str">
            <v>--</v>
          </cell>
          <cell r="DP264" t="str">
            <v>--</v>
          </cell>
          <cell r="DQ264" t="str">
            <v>--</v>
          </cell>
          <cell r="DR264" t="str">
            <v>--</v>
          </cell>
          <cell r="DS264" t="str">
            <v>--</v>
          </cell>
          <cell r="DT264" t="str">
            <v>--</v>
          </cell>
          <cell r="DU264" t="str">
            <v>--</v>
          </cell>
          <cell r="DV264" t="str">
            <v>--</v>
          </cell>
          <cell r="DW264" t="str">
            <v>--</v>
          </cell>
          <cell r="DX264" t="str">
            <v>--</v>
          </cell>
          <cell r="DY264" t="str">
            <v>--</v>
          </cell>
          <cell r="DZ264" t="str">
            <v>--</v>
          </cell>
          <cell r="EA264" t="str">
            <v>--</v>
          </cell>
          <cell r="EB264" t="str">
            <v>--</v>
          </cell>
          <cell r="EC264" t="str">
            <v>--</v>
          </cell>
          <cell r="ED264" t="str">
            <v>--</v>
          </cell>
          <cell r="EE264" t="str">
            <v>--</v>
          </cell>
          <cell r="EF264" t="str">
            <v>--</v>
          </cell>
          <cell r="EG264" t="str">
            <v>--</v>
          </cell>
        </row>
        <row r="265">
          <cell r="A265" t="str">
            <v>02580005High needs</v>
          </cell>
          <cell r="B265" t="str">
            <v>02580005S</v>
          </cell>
          <cell r="C265" t="str">
            <v>0258</v>
          </cell>
          <cell r="D265" t="str">
            <v>02580005</v>
          </cell>
          <cell r="E265" t="str">
            <v>Salem</v>
          </cell>
          <cell r="F265" t="str">
            <v>Bentley</v>
          </cell>
          <cell r="G265" t="str">
            <v>ES</v>
          </cell>
          <cell r="H265" t="str">
            <v>Salem - Bentley (02580005)</v>
          </cell>
          <cell r="I265" t="str">
            <v>High needs</v>
          </cell>
          <cell r="J265" t="str">
            <v>02580005High needs</v>
          </cell>
          <cell r="K265" t="str">
            <v>Level 4</v>
          </cell>
          <cell r="L265">
            <v>56</v>
          </cell>
          <cell r="M265">
            <v>59.7</v>
          </cell>
          <cell r="N265">
            <v>59.7</v>
          </cell>
          <cell r="O265">
            <v>63.3</v>
          </cell>
          <cell r="P265">
            <v>56.3</v>
          </cell>
          <cell r="Q265">
            <v>67</v>
          </cell>
          <cell r="R265">
            <v>70.7</v>
          </cell>
          <cell r="S265">
            <v>74.3</v>
          </cell>
          <cell r="T265">
            <v>78</v>
          </cell>
          <cell r="U265">
            <v>52.3</v>
          </cell>
          <cell r="V265">
            <v>56.3</v>
          </cell>
          <cell r="W265">
            <v>53.5</v>
          </cell>
          <cell r="X265">
            <v>60.3</v>
          </cell>
          <cell r="Y265">
            <v>52.8</v>
          </cell>
          <cell r="Z265">
            <v>64.2</v>
          </cell>
          <cell r="AA265">
            <v>68.2</v>
          </cell>
          <cell r="AB265">
            <v>72.2</v>
          </cell>
          <cell r="AC265">
            <v>76.2</v>
          </cell>
          <cell r="AD265">
            <v>58.3</v>
          </cell>
          <cell r="AE265">
            <v>61.8</v>
          </cell>
          <cell r="AF265">
            <v>53.3</v>
          </cell>
          <cell r="AG265">
            <v>65.3</v>
          </cell>
          <cell r="AH265">
            <v>47.4</v>
          </cell>
          <cell r="AI265">
            <v>68.7</v>
          </cell>
          <cell r="AJ265">
            <v>72.2</v>
          </cell>
          <cell r="AK265">
            <v>75.7</v>
          </cell>
          <cell r="AL265">
            <v>79.2</v>
          </cell>
          <cell r="AM265" t="str">
            <v>--</v>
          </cell>
          <cell r="AN265" t="str">
            <v>--</v>
          </cell>
          <cell r="AO265" t="str">
            <v>--</v>
          </cell>
          <cell r="AP265" t="str">
            <v>--</v>
          </cell>
          <cell r="AQ265" t="str">
            <v>--</v>
          </cell>
          <cell r="AR265" t="str">
            <v>--</v>
          </cell>
          <cell r="AS265" t="str">
            <v>--</v>
          </cell>
          <cell r="AT265" t="str">
            <v>--</v>
          </cell>
          <cell r="AU265" t="str">
            <v>--</v>
          </cell>
          <cell r="AV265" t="str">
            <v>--</v>
          </cell>
          <cell r="AW265" t="str">
            <v>--</v>
          </cell>
          <cell r="AX265" t="str">
            <v>--</v>
          </cell>
          <cell r="AY265" t="str">
            <v>--</v>
          </cell>
          <cell r="AZ265" t="str">
            <v>--</v>
          </cell>
          <cell r="BA265" t="str">
            <v>--</v>
          </cell>
          <cell r="BB265" t="str">
            <v>--</v>
          </cell>
          <cell r="BC265" t="str">
            <v>--</v>
          </cell>
          <cell r="BD265" t="str">
            <v>--</v>
          </cell>
          <cell r="BE265" t="str">
            <v>--</v>
          </cell>
          <cell r="BF265" t="str">
            <v>--</v>
          </cell>
          <cell r="BG265" t="str">
            <v>--</v>
          </cell>
          <cell r="BH265" t="str">
            <v>--</v>
          </cell>
          <cell r="BI265" t="str">
            <v>--</v>
          </cell>
          <cell r="BJ265" t="str">
            <v>--</v>
          </cell>
          <cell r="BK265" t="str">
            <v>--</v>
          </cell>
          <cell r="BL265" t="str">
            <v>--</v>
          </cell>
          <cell r="BM265" t="str">
            <v>--</v>
          </cell>
          <cell r="BN265">
            <v>30</v>
          </cell>
          <cell r="BO265">
            <v>40</v>
          </cell>
          <cell r="BP265">
            <v>49</v>
          </cell>
          <cell r="BQ265">
            <v>51</v>
          </cell>
          <cell r="BR265">
            <v>49.5</v>
          </cell>
          <cell r="BS265">
            <v>51</v>
          </cell>
          <cell r="BT265">
            <v>51</v>
          </cell>
          <cell r="BU265">
            <v>51</v>
          </cell>
          <cell r="BV265">
            <v>51</v>
          </cell>
          <cell r="BW265">
            <v>32</v>
          </cell>
          <cell r="BX265">
            <v>42</v>
          </cell>
          <cell r="BY265">
            <v>49</v>
          </cell>
          <cell r="BZ265">
            <v>51</v>
          </cell>
          <cell r="CA265">
            <v>31</v>
          </cell>
          <cell r="CB265">
            <v>41</v>
          </cell>
          <cell r="CC265">
            <v>51</v>
          </cell>
          <cell r="CD265">
            <v>51</v>
          </cell>
          <cell r="CE265">
            <v>51</v>
          </cell>
          <cell r="CF265">
            <v>37.5</v>
          </cell>
          <cell r="CG265">
            <v>33.799999999999997</v>
          </cell>
          <cell r="CH265">
            <v>28.1</v>
          </cell>
          <cell r="CI265">
            <v>25.3</v>
          </cell>
          <cell r="CJ265">
            <v>34.1</v>
          </cell>
          <cell r="CK265">
            <v>30.7</v>
          </cell>
          <cell r="CL265">
            <v>27.6</v>
          </cell>
          <cell r="CM265">
            <v>24.9</v>
          </cell>
          <cell r="CN265">
            <v>22.4</v>
          </cell>
          <cell r="CO265">
            <v>40.299999999999997</v>
          </cell>
          <cell r="CP265">
            <v>36.299999999999997</v>
          </cell>
          <cell r="CQ265">
            <v>40.200000000000003</v>
          </cell>
          <cell r="CR265">
            <v>36.200000000000003</v>
          </cell>
          <cell r="CS265">
            <v>39.200000000000003</v>
          </cell>
          <cell r="CT265">
            <v>35.299999999999997</v>
          </cell>
          <cell r="CU265">
            <v>31.8</v>
          </cell>
          <cell r="CV265">
            <v>28.6</v>
          </cell>
          <cell r="CW265">
            <v>25.7</v>
          </cell>
          <cell r="CX265">
            <v>33.299999999999997</v>
          </cell>
          <cell r="CY265">
            <v>30</v>
          </cell>
          <cell r="CZ265">
            <v>34.200000000000003</v>
          </cell>
          <cell r="DA265">
            <v>30.8</v>
          </cell>
          <cell r="DB265">
            <v>36.799999999999997</v>
          </cell>
          <cell r="DC265">
            <v>33.1</v>
          </cell>
          <cell r="DD265">
            <v>29.8</v>
          </cell>
          <cell r="DE265">
            <v>26.8</v>
          </cell>
          <cell r="DF265">
            <v>24.1</v>
          </cell>
          <cell r="DG265">
            <v>0.8</v>
          </cell>
          <cell r="DH265">
            <v>0.9</v>
          </cell>
          <cell r="DI265">
            <v>2.5</v>
          </cell>
          <cell r="DJ265">
            <v>2.8</v>
          </cell>
          <cell r="DK265">
            <v>0</v>
          </cell>
          <cell r="DL265">
            <v>1</v>
          </cell>
          <cell r="DM265">
            <v>1.1000000000000001</v>
          </cell>
          <cell r="DN265">
            <v>1.2</v>
          </cell>
          <cell r="DO265">
            <v>1.3</v>
          </cell>
          <cell r="DP265">
            <v>1.7</v>
          </cell>
          <cell r="DQ265">
            <v>1.9</v>
          </cell>
          <cell r="DR265">
            <v>2.5</v>
          </cell>
          <cell r="DS265">
            <v>2.8</v>
          </cell>
          <cell r="DT265">
            <v>4.8</v>
          </cell>
          <cell r="DU265">
            <v>5.3</v>
          </cell>
          <cell r="DV265">
            <v>5.8</v>
          </cell>
          <cell r="DW265">
            <v>6.4</v>
          </cell>
          <cell r="DX265">
            <v>7</v>
          </cell>
          <cell r="DY265">
            <v>5.6</v>
          </cell>
          <cell r="DZ265">
            <v>6.2</v>
          </cell>
          <cell r="EA265">
            <v>2.6</v>
          </cell>
          <cell r="EB265">
            <v>2.9</v>
          </cell>
          <cell r="EC265">
            <v>0</v>
          </cell>
          <cell r="ED265">
            <v>1</v>
          </cell>
          <cell r="EE265">
            <v>1.1000000000000001</v>
          </cell>
          <cell r="EF265">
            <v>1.2</v>
          </cell>
          <cell r="EG265">
            <v>1.3</v>
          </cell>
        </row>
        <row r="266">
          <cell r="A266" t="str">
            <v>02580005All students</v>
          </cell>
          <cell r="B266" t="str">
            <v>02580005T</v>
          </cell>
          <cell r="C266" t="str">
            <v>0258</v>
          </cell>
          <cell r="D266" t="str">
            <v>02580005</v>
          </cell>
          <cell r="E266" t="str">
            <v>Salem</v>
          </cell>
          <cell r="F266" t="str">
            <v>Bentley</v>
          </cell>
          <cell r="G266" t="str">
            <v>ES</v>
          </cell>
          <cell r="H266" t="str">
            <v>Salem - Bentley (02580005)</v>
          </cell>
          <cell r="I266" t="str">
            <v>All students</v>
          </cell>
          <cell r="J266" t="str">
            <v>02580005All students</v>
          </cell>
          <cell r="K266" t="str">
            <v>Level 4</v>
          </cell>
          <cell r="L266">
            <v>63.7</v>
          </cell>
          <cell r="M266">
            <v>66.7</v>
          </cell>
          <cell r="N266">
            <v>64.2</v>
          </cell>
          <cell r="O266">
            <v>69.8</v>
          </cell>
          <cell r="P266">
            <v>61</v>
          </cell>
          <cell r="Q266">
            <v>72.8</v>
          </cell>
          <cell r="R266">
            <v>75.8</v>
          </cell>
          <cell r="S266">
            <v>78.8</v>
          </cell>
          <cell r="T266">
            <v>81.900000000000006</v>
          </cell>
          <cell r="U266">
            <v>59.3</v>
          </cell>
          <cell r="V266">
            <v>62.7</v>
          </cell>
          <cell r="W266">
            <v>58.8</v>
          </cell>
          <cell r="X266">
            <v>66.099999999999994</v>
          </cell>
          <cell r="Y266">
            <v>58.2</v>
          </cell>
          <cell r="Z266">
            <v>69.5</v>
          </cell>
          <cell r="AA266">
            <v>72.900000000000006</v>
          </cell>
          <cell r="AB266">
            <v>76.3</v>
          </cell>
          <cell r="AC266">
            <v>79.7</v>
          </cell>
          <cell r="AD266">
            <v>66</v>
          </cell>
          <cell r="AE266">
            <v>68.8</v>
          </cell>
          <cell r="AF266">
            <v>62.7</v>
          </cell>
          <cell r="AG266">
            <v>71.7</v>
          </cell>
          <cell r="AH266">
            <v>53.4</v>
          </cell>
          <cell r="AI266">
            <v>74.5</v>
          </cell>
          <cell r="AJ266">
            <v>77.3</v>
          </cell>
          <cell r="AK266">
            <v>80.2</v>
          </cell>
          <cell r="AL266">
            <v>83</v>
          </cell>
          <cell r="AM266" t="str">
            <v>--</v>
          </cell>
          <cell r="AN266" t="str">
            <v>--</v>
          </cell>
          <cell r="AO266" t="str">
            <v>--</v>
          </cell>
          <cell r="AP266" t="str">
            <v>--</v>
          </cell>
          <cell r="AQ266" t="str">
            <v>--</v>
          </cell>
          <cell r="AR266" t="str">
            <v>--</v>
          </cell>
          <cell r="AS266" t="str">
            <v>--</v>
          </cell>
          <cell r="AT266" t="str">
            <v>--</v>
          </cell>
          <cell r="AU266" t="str">
            <v>--</v>
          </cell>
          <cell r="AV266" t="str">
            <v>--</v>
          </cell>
          <cell r="AW266" t="str">
            <v>--</v>
          </cell>
          <cell r="AX266" t="str">
            <v>--</v>
          </cell>
          <cell r="AY266" t="str">
            <v>--</v>
          </cell>
          <cell r="AZ266" t="str">
            <v>--</v>
          </cell>
          <cell r="BA266" t="str">
            <v>--</v>
          </cell>
          <cell r="BB266" t="str">
            <v>--</v>
          </cell>
          <cell r="BC266" t="str">
            <v>--</v>
          </cell>
          <cell r="BD266" t="str">
            <v>--</v>
          </cell>
          <cell r="BE266" t="str">
            <v>--</v>
          </cell>
          <cell r="BF266" t="str">
            <v>--</v>
          </cell>
          <cell r="BG266" t="str">
            <v>--</v>
          </cell>
          <cell r="BH266" t="str">
            <v>--</v>
          </cell>
          <cell r="BI266" t="str">
            <v>--</v>
          </cell>
          <cell r="BJ266" t="str">
            <v>--</v>
          </cell>
          <cell r="BK266" t="str">
            <v>--</v>
          </cell>
          <cell r="BL266" t="str">
            <v>--</v>
          </cell>
          <cell r="BM266" t="str">
            <v>--</v>
          </cell>
          <cell r="BN266">
            <v>34</v>
          </cell>
          <cell r="BO266">
            <v>44</v>
          </cell>
          <cell r="BP266">
            <v>45.5</v>
          </cell>
          <cell r="BQ266">
            <v>51</v>
          </cell>
          <cell r="BR266">
            <v>44</v>
          </cell>
          <cell r="BS266">
            <v>51</v>
          </cell>
          <cell r="BT266">
            <v>51</v>
          </cell>
          <cell r="BU266">
            <v>51</v>
          </cell>
          <cell r="BV266">
            <v>51</v>
          </cell>
          <cell r="BW266">
            <v>31.5</v>
          </cell>
          <cell r="BX266">
            <v>41.5</v>
          </cell>
          <cell r="BY266">
            <v>51</v>
          </cell>
          <cell r="BZ266">
            <v>51</v>
          </cell>
          <cell r="CA266">
            <v>36</v>
          </cell>
          <cell r="CB266">
            <v>46</v>
          </cell>
          <cell r="CC266">
            <v>51</v>
          </cell>
          <cell r="CD266">
            <v>51</v>
          </cell>
          <cell r="CE266">
            <v>51</v>
          </cell>
          <cell r="CF266">
            <v>28.3</v>
          </cell>
          <cell r="CG266">
            <v>25.5</v>
          </cell>
          <cell r="CH266">
            <v>23.5</v>
          </cell>
          <cell r="CI266">
            <v>21.2</v>
          </cell>
          <cell r="CJ266">
            <v>28.7</v>
          </cell>
          <cell r="CK266">
            <v>25.8</v>
          </cell>
          <cell r="CL266">
            <v>23.2</v>
          </cell>
          <cell r="CM266">
            <v>20.9</v>
          </cell>
          <cell r="CN266">
            <v>18.8</v>
          </cell>
          <cell r="CO266">
            <v>31</v>
          </cell>
          <cell r="CP266">
            <v>27.9</v>
          </cell>
          <cell r="CQ266">
            <v>33.799999999999997</v>
          </cell>
          <cell r="CR266">
            <v>30.4</v>
          </cell>
          <cell r="CS266">
            <v>33.5</v>
          </cell>
          <cell r="CT266">
            <v>30.2</v>
          </cell>
          <cell r="CU266">
            <v>27.1</v>
          </cell>
          <cell r="CV266">
            <v>24.4</v>
          </cell>
          <cell r="CW266">
            <v>22</v>
          </cell>
          <cell r="CX266">
            <v>26.4</v>
          </cell>
          <cell r="CY266">
            <v>23.8</v>
          </cell>
          <cell r="CZ266">
            <v>24.5</v>
          </cell>
          <cell r="DA266">
            <v>22.1</v>
          </cell>
          <cell r="DB266">
            <v>29.4</v>
          </cell>
          <cell r="DC266">
            <v>26.5</v>
          </cell>
          <cell r="DD266">
            <v>23.8</v>
          </cell>
          <cell r="DE266">
            <v>21.4</v>
          </cell>
          <cell r="DF266">
            <v>19.3</v>
          </cell>
          <cell r="DG266">
            <v>1.3</v>
          </cell>
          <cell r="DH266">
            <v>1.4</v>
          </cell>
          <cell r="DI266">
            <v>3.3</v>
          </cell>
          <cell r="DJ266">
            <v>3.6</v>
          </cell>
          <cell r="DK266">
            <v>0.6</v>
          </cell>
          <cell r="DL266">
            <v>0.7</v>
          </cell>
          <cell r="DM266">
            <v>0.7</v>
          </cell>
          <cell r="DN266">
            <v>0.8</v>
          </cell>
          <cell r="DO266">
            <v>0.9</v>
          </cell>
          <cell r="DP266">
            <v>3.8</v>
          </cell>
          <cell r="DQ266">
            <v>4.2</v>
          </cell>
          <cell r="DR266">
            <v>6.5</v>
          </cell>
          <cell r="DS266">
            <v>7.2</v>
          </cell>
          <cell r="DT266">
            <v>6.5</v>
          </cell>
          <cell r="DU266">
            <v>7.2</v>
          </cell>
          <cell r="DV266">
            <v>7.9</v>
          </cell>
          <cell r="DW266">
            <v>8.6999999999999993</v>
          </cell>
          <cell r="DX266">
            <v>9.5</v>
          </cell>
          <cell r="DY266">
            <v>3.8</v>
          </cell>
          <cell r="DZ266">
            <v>4.2</v>
          </cell>
          <cell r="EA266">
            <v>9.4</v>
          </cell>
          <cell r="EB266">
            <v>10.3</v>
          </cell>
          <cell r="EC266">
            <v>0</v>
          </cell>
          <cell r="ED266">
            <v>1</v>
          </cell>
          <cell r="EE266">
            <v>1.1000000000000001</v>
          </cell>
          <cell r="EF266">
            <v>1.2</v>
          </cell>
          <cell r="EG266">
            <v>1.3</v>
          </cell>
        </row>
        <row r="267">
          <cell r="A267" t="str">
            <v>02810023Asian</v>
          </cell>
          <cell r="B267" t="str">
            <v>02810023A</v>
          </cell>
          <cell r="C267" t="str">
            <v>0281</v>
          </cell>
          <cell r="D267" t="str">
            <v>02810023</v>
          </cell>
          <cell r="E267" t="str">
            <v>Springfield</v>
          </cell>
          <cell r="F267" t="str">
            <v>Milton Bradley School</v>
          </cell>
          <cell r="G267" t="str">
            <v>ES</v>
          </cell>
          <cell r="H267" t="str">
            <v>Springfield - Milton Bradley School (02810023)</v>
          </cell>
          <cell r="I267" t="str">
            <v>Asian</v>
          </cell>
          <cell r="J267" t="str">
            <v>02810023Asian</v>
          </cell>
          <cell r="K267" t="str">
            <v>--</v>
          </cell>
          <cell r="L267" t="str">
            <v>--</v>
          </cell>
          <cell r="M267" t="str">
            <v>--</v>
          </cell>
          <cell r="N267" t="str">
            <v>--</v>
          </cell>
          <cell r="O267" t="str">
            <v>--</v>
          </cell>
          <cell r="P267" t="str">
            <v>--</v>
          </cell>
          <cell r="Q267" t="str">
            <v>--</v>
          </cell>
          <cell r="R267" t="str">
            <v>--</v>
          </cell>
          <cell r="S267" t="str">
            <v>--</v>
          </cell>
          <cell r="T267" t="str">
            <v>--</v>
          </cell>
          <cell r="U267" t="str">
            <v>--</v>
          </cell>
          <cell r="V267" t="str">
            <v>--</v>
          </cell>
          <cell r="W267" t="str">
            <v>--</v>
          </cell>
          <cell r="X267" t="str">
            <v>--</v>
          </cell>
          <cell r="Y267" t="str">
            <v>--</v>
          </cell>
          <cell r="Z267" t="str">
            <v>--</v>
          </cell>
          <cell r="AA267" t="str">
            <v>--</v>
          </cell>
          <cell r="AB267" t="str">
            <v>--</v>
          </cell>
          <cell r="AC267" t="str">
            <v>--</v>
          </cell>
          <cell r="AD267" t="str">
            <v>--</v>
          </cell>
          <cell r="AE267" t="str">
            <v>--</v>
          </cell>
          <cell r="AF267" t="str">
            <v>--</v>
          </cell>
          <cell r="AG267" t="str">
            <v>--</v>
          </cell>
          <cell r="AH267" t="str">
            <v>--</v>
          </cell>
          <cell r="AI267" t="str">
            <v>--</v>
          </cell>
          <cell r="AJ267" t="str">
            <v>--</v>
          </cell>
          <cell r="AK267" t="str">
            <v>--</v>
          </cell>
          <cell r="AL267" t="str">
            <v>--</v>
          </cell>
          <cell r="AM267" t="str">
            <v>--</v>
          </cell>
          <cell r="AN267" t="str">
            <v>--</v>
          </cell>
          <cell r="AO267" t="str">
            <v>--</v>
          </cell>
          <cell r="AP267" t="str">
            <v>--</v>
          </cell>
          <cell r="AQ267" t="str">
            <v>--</v>
          </cell>
          <cell r="AR267" t="str">
            <v>--</v>
          </cell>
          <cell r="AS267" t="str">
            <v>--</v>
          </cell>
          <cell r="AT267" t="str">
            <v>--</v>
          </cell>
          <cell r="AU267" t="str">
            <v>--</v>
          </cell>
          <cell r="AV267" t="str">
            <v>--</v>
          </cell>
          <cell r="AW267" t="str">
            <v>--</v>
          </cell>
          <cell r="AX267" t="str">
            <v>--</v>
          </cell>
          <cell r="AY267" t="str">
            <v>--</v>
          </cell>
          <cell r="AZ267" t="str">
            <v>--</v>
          </cell>
          <cell r="BA267" t="str">
            <v>--</v>
          </cell>
          <cell r="BB267" t="str">
            <v>--</v>
          </cell>
          <cell r="BC267" t="str">
            <v>--</v>
          </cell>
          <cell r="BD267" t="str">
            <v>--</v>
          </cell>
          <cell r="BE267" t="str">
            <v>--</v>
          </cell>
          <cell r="BF267" t="str">
            <v>--</v>
          </cell>
          <cell r="BG267" t="str">
            <v>--</v>
          </cell>
          <cell r="BH267" t="str">
            <v>--</v>
          </cell>
          <cell r="BI267" t="str">
            <v>--</v>
          </cell>
          <cell r="BJ267" t="str">
            <v>--</v>
          </cell>
          <cell r="BK267" t="str">
            <v>--</v>
          </cell>
          <cell r="BL267" t="str">
            <v>--</v>
          </cell>
          <cell r="BM267" t="str">
            <v>--</v>
          </cell>
          <cell r="BN267" t="str">
            <v>--</v>
          </cell>
          <cell r="BO267" t="str">
            <v>--</v>
          </cell>
          <cell r="BP267" t="str">
            <v>--</v>
          </cell>
          <cell r="BQ267" t="str">
            <v>--</v>
          </cell>
          <cell r="BR267" t="str">
            <v>--</v>
          </cell>
          <cell r="BS267" t="str">
            <v>--</v>
          </cell>
          <cell r="BT267" t="str">
            <v>--</v>
          </cell>
          <cell r="BU267" t="str">
            <v>--</v>
          </cell>
          <cell r="BV267" t="str">
            <v>--</v>
          </cell>
          <cell r="BW267" t="str">
            <v>--</v>
          </cell>
          <cell r="BX267" t="str">
            <v>--</v>
          </cell>
          <cell r="BY267" t="str">
            <v>--</v>
          </cell>
          <cell r="BZ267" t="str">
            <v>--</v>
          </cell>
          <cell r="CA267" t="str">
            <v>--</v>
          </cell>
          <cell r="CB267" t="str">
            <v>--</v>
          </cell>
          <cell r="CC267" t="str">
            <v>--</v>
          </cell>
          <cell r="CD267" t="str">
            <v>--</v>
          </cell>
          <cell r="CE267" t="str">
            <v>--</v>
          </cell>
          <cell r="CF267" t="str">
            <v>--</v>
          </cell>
          <cell r="CG267" t="str">
            <v>--</v>
          </cell>
          <cell r="CH267" t="str">
            <v>--</v>
          </cell>
          <cell r="CI267" t="str">
            <v>--</v>
          </cell>
          <cell r="CJ267" t="str">
            <v>--</v>
          </cell>
          <cell r="CK267" t="str">
            <v>--</v>
          </cell>
          <cell r="CL267" t="str">
            <v>--</v>
          </cell>
          <cell r="CM267" t="str">
            <v>--</v>
          </cell>
          <cell r="CN267" t="str">
            <v>--</v>
          </cell>
          <cell r="CO267" t="str">
            <v>--</v>
          </cell>
          <cell r="CP267" t="str">
            <v>--</v>
          </cell>
          <cell r="CQ267" t="str">
            <v>--</v>
          </cell>
          <cell r="CR267" t="str">
            <v>--</v>
          </cell>
          <cell r="CS267" t="str">
            <v>--</v>
          </cell>
          <cell r="CT267" t="str">
            <v>--</v>
          </cell>
          <cell r="CU267" t="str">
            <v>--</v>
          </cell>
          <cell r="CV267" t="str">
            <v>--</v>
          </cell>
          <cell r="CW267" t="str">
            <v>--</v>
          </cell>
          <cell r="CX267" t="str">
            <v>--</v>
          </cell>
          <cell r="CY267" t="str">
            <v>--</v>
          </cell>
          <cell r="CZ267" t="str">
            <v>--</v>
          </cell>
          <cell r="DA267" t="str">
            <v>--</v>
          </cell>
          <cell r="DB267" t="str">
            <v>--</v>
          </cell>
          <cell r="DC267" t="str">
            <v>--</v>
          </cell>
          <cell r="DD267" t="str">
            <v>--</v>
          </cell>
          <cell r="DE267" t="str">
            <v>--</v>
          </cell>
          <cell r="DF267" t="str">
            <v>--</v>
          </cell>
          <cell r="DG267" t="str">
            <v>--</v>
          </cell>
          <cell r="DH267" t="str">
            <v>--</v>
          </cell>
          <cell r="DI267" t="str">
            <v>--</v>
          </cell>
          <cell r="DJ267" t="str">
            <v>--</v>
          </cell>
          <cell r="DK267" t="str">
            <v>--</v>
          </cell>
          <cell r="DL267" t="str">
            <v>--</v>
          </cell>
          <cell r="DM267" t="str">
            <v>--</v>
          </cell>
          <cell r="DN267" t="str">
            <v>--</v>
          </cell>
          <cell r="DO267" t="str">
            <v>--</v>
          </cell>
          <cell r="DP267" t="str">
            <v>--</v>
          </cell>
          <cell r="DQ267" t="str">
            <v>--</v>
          </cell>
          <cell r="DR267" t="str">
            <v>--</v>
          </cell>
          <cell r="DS267" t="str">
            <v>--</v>
          </cell>
          <cell r="DT267" t="str">
            <v>--</v>
          </cell>
          <cell r="DU267" t="str">
            <v>--</v>
          </cell>
          <cell r="DV267" t="str">
            <v>--</v>
          </cell>
          <cell r="DW267" t="str">
            <v>--</v>
          </cell>
          <cell r="DX267" t="str">
            <v>--</v>
          </cell>
          <cell r="DY267" t="str">
            <v>--</v>
          </cell>
          <cell r="DZ267" t="str">
            <v>--</v>
          </cell>
          <cell r="EA267" t="str">
            <v>--</v>
          </cell>
          <cell r="EB267" t="str">
            <v>--</v>
          </cell>
          <cell r="EC267" t="str">
            <v>--</v>
          </cell>
          <cell r="ED267" t="str">
            <v>--</v>
          </cell>
          <cell r="EE267" t="str">
            <v>--</v>
          </cell>
          <cell r="EF267" t="str">
            <v>--</v>
          </cell>
          <cell r="EG267" t="str">
            <v>--</v>
          </cell>
        </row>
        <row r="268">
          <cell r="A268" t="str">
            <v>02810023Afr. Amer/Black</v>
          </cell>
          <cell r="B268" t="str">
            <v>02810023B</v>
          </cell>
          <cell r="C268" t="str">
            <v>0281</v>
          </cell>
          <cell r="D268" t="str">
            <v>02810023</v>
          </cell>
          <cell r="E268" t="str">
            <v>Springfield</v>
          </cell>
          <cell r="F268" t="str">
            <v>Milton Bradley School</v>
          </cell>
          <cell r="G268" t="str">
            <v>ES</v>
          </cell>
          <cell r="H268" t="str">
            <v>Springfield - Milton Bradley School (02810023)</v>
          </cell>
          <cell r="I268" t="str">
            <v>Afr. Amer/Black</v>
          </cell>
          <cell r="J268" t="str">
            <v>02810023Afr. Amer/Black</v>
          </cell>
          <cell r="K268" t="str">
            <v>--</v>
          </cell>
          <cell r="L268">
            <v>70.2</v>
          </cell>
          <cell r="M268">
            <v>72.7</v>
          </cell>
          <cell r="N268">
            <v>58.6</v>
          </cell>
          <cell r="O268">
            <v>75.2</v>
          </cell>
          <cell r="P268">
            <v>58.9</v>
          </cell>
          <cell r="Q268">
            <v>77.7</v>
          </cell>
          <cell r="R268">
            <v>80.099999999999994</v>
          </cell>
          <cell r="S268">
            <v>82.6</v>
          </cell>
          <cell r="T268">
            <v>85.1</v>
          </cell>
          <cell r="U268">
            <v>51</v>
          </cell>
          <cell r="V268">
            <v>55.1</v>
          </cell>
          <cell r="W268">
            <v>41.4</v>
          </cell>
          <cell r="X268">
            <v>59.2</v>
          </cell>
          <cell r="Y268">
            <v>54.8</v>
          </cell>
          <cell r="Z268">
            <v>63.3</v>
          </cell>
          <cell r="AA268">
            <v>67.3</v>
          </cell>
          <cell r="AB268">
            <v>71.400000000000006</v>
          </cell>
          <cell r="AC268">
            <v>75.5</v>
          </cell>
          <cell r="AD268" t="str">
            <v>--</v>
          </cell>
          <cell r="AE268" t="str">
            <v>--</v>
          </cell>
          <cell r="AF268" t="str">
            <v>--</v>
          </cell>
          <cell r="AG268" t="str">
            <v>--</v>
          </cell>
          <cell r="AH268" t="str">
            <v>--</v>
          </cell>
          <cell r="AI268" t="str">
            <v>--</v>
          </cell>
          <cell r="AJ268" t="str">
            <v>--</v>
          </cell>
          <cell r="AK268" t="str">
            <v>--</v>
          </cell>
          <cell r="AL268" t="str">
            <v>--</v>
          </cell>
          <cell r="AM268" t="str">
            <v>--</v>
          </cell>
          <cell r="AN268" t="str">
            <v>--</v>
          </cell>
          <cell r="AO268" t="str">
            <v>--</v>
          </cell>
          <cell r="AP268" t="str">
            <v>--</v>
          </cell>
          <cell r="AQ268" t="str">
            <v>--</v>
          </cell>
          <cell r="AR268" t="str">
            <v>--</v>
          </cell>
          <cell r="AS268" t="str">
            <v>--</v>
          </cell>
          <cell r="AT268" t="str">
            <v>--</v>
          </cell>
          <cell r="AU268" t="str">
            <v>--</v>
          </cell>
          <cell r="AV268" t="str">
            <v>--</v>
          </cell>
          <cell r="AW268" t="str">
            <v>--</v>
          </cell>
          <cell r="AX268" t="str">
            <v>--</v>
          </cell>
          <cell r="AY268" t="str">
            <v>--</v>
          </cell>
          <cell r="AZ268" t="str">
            <v>--</v>
          </cell>
          <cell r="BA268" t="str">
            <v>--</v>
          </cell>
          <cell r="BB268" t="str">
            <v>--</v>
          </cell>
          <cell r="BC268" t="str">
            <v>--</v>
          </cell>
          <cell r="BD268" t="str">
            <v>--</v>
          </cell>
          <cell r="BE268" t="str">
            <v>--</v>
          </cell>
          <cell r="BF268" t="str">
            <v>--</v>
          </cell>
          <cell r="BG268" t="str">
            <v>--</v>
          </cell>
          <cell r="BH268" t="str">
            <v>--</v>
          </cell>
          <cell r="BI268" t="str">
            <v>--</v>
          </cell>
          <cell r="BJ268" t="str">
            <v>--</v>
          </cell>
          <cell r="BK268" t="str">
            <v>--</v>
          </cell>
          <cell r="BL268" t="str">
            <v>--</v>
          </cell>
          <cell r="BM268" t="str">
            <v>--</v>
          </cell>
          <cell r="BN268" t="str">
            <v>--</v>
          </cell>
          <cell r="BO268" t="str">
            <v>--</v>
          </cell>
          <cell r="BP268" t="str">
            <v>--</v>
          </cell>
          <cell r="BQ268" t="str">
            <v>--</v>
          </cell>
          <cell r="BR268" t="str">
            <v>--</v>
          </cell>
          <cell r="BS268" t="str">
            <v>--</v>
          </cell>
          <cell r="BT268" t="str">
            <v>--</v>
          </cell>
          <cell r="BU268" t="str">
            <v>--</v>
          </cell>
          <cell r="BV268" t="str">
            <v>--</v>
          </cell>
          <cell r="BW268" t="str">
            <v>--</v>
          </cell>
          <cell r="BX268" t="str">
            <v>--</v>
          </cell>
          <cell r="BY268" t="str">
            <v>--</v>
          </cell>
          <cell r="BZ268" t="str">
            <v>--</v>
          </cell>
          <cell r="CA268" t="str">
            <v>--</v>
          </cell>
          <cell r="CB268" t="str">
            <v>--</v>
          </cell>
          <cell r="CC268" t="str">
            <v>--</v>
          </cell>
          <cell r="CD268" t="str">
            <v>--</v>
          </cell>
          <cell r="CE268" t="str">
            <v>--</v>
          </cell>
          <cell r="CF268">
            <v>15.4</v>
          </cell>
          <cell r="CG268">
            <v>13.9</v>
          </cell>
          <cell r="CH268">
            <v>24.1</v>
          </cell>
          <cell r="CI268">
            <v>21.7</v>
          </cell>
          <cell r="CJ268">
            <v>25.8</v>
          </cell>
          <cell r="CK268">
            <v>23.2</v>
          </cell>
          <cell r="CL268">
            <v>20.9</v>
          </cell>
          <cell r="CM268">
            <v>18.8</v>
          </cell>
          <cell r="CN268">
            <v>16.899999999999999</v>
          </cell>
          <cell r="CO268">
            <v>34.6</v>
          </cell>
          <cell r="CP268">
            <v>31.1</v>
          </cell>
          <cell r="CQ268">
            <v>51.7</v>
          </cell>
          <cell r="CR268">
            <v>46.5</v>
          </cell>
          <cell r="CS268">
            <v>25.8</v>
          </cell>
          <cell r="CT268">
            <v>23.2</v>
          </cell>
          <cell r="CU268">
            <v>20.9</v>
          </cell>
          <cell r="CV268">
            <v>18.8</v>
          </cell>
          <cell r="CW268">
            <v>16.899999999999999</v>
          </cell>
          <cell r="CX268" t="str">
            <v>--</v>
          </cell>
          <cell r="CY268" t="str">
            <v>--</v>
          </cell>
          <cell r="CZ268" t="str">
            <v>--</v>
          </cell>
          <cell r="DA268" t="str">
            <v>--</v>
          </cell>
          <cell r="DB268" t="str">
            <v>--</v>
          </cell>
          <cell r="DC268" t="str">
            <v>--</v>
          </cell>
          <cell r="DD268" t="str">
            <v>--</v>
          </cell>
          <cell r="DE268" t="str">
            <v>--</v>
          </cell>
          <cell r="DF268" t="str">
            <v>--</v>
          </cell>
          <cell r="DG268">
            <v>0</v>
          </cell>
          <cell r="DH268">
            <v>1</v>
          </cell>
          <cell r="DI268">
            <v>0</v>
          </cell>
          <cell r="DJ268">
            <v>1</v>
          </cell>
          <cell r="DK268">
            <v>0</v>
          </cell>
          <cell r="DL268">
            <v>1</v>
          </cell>
          <cell r="DM268">
            <v>1.1000000000000001</v>
          </cell>
          <cell r="DN268">
            <v>1.2</v>
          </cell>
          <cell r="DO268">
            <v>1.3</v>
          </cell>
          <cell r="DP268">
            <v>3.8</v>
          </cell>
          <cell r="DQ268">
            <v>4.2</v>
          </cell>
          <cell r="DR268">
            <v>3.4</v>
          </cell>
          <cell r="DS268">
            <v>3.7</v>
          </cell>
          <cell r="DT268">
            <v>6.5</v>
          </cell>
          <cell r="DU268">
            <v>7.2</v>
          </cell>
          <cell r="DV268">
            <v>7.9</v>
          </cell>
          <cell r="DW268">
            <v>8.6999999999999993</v>
          </cell>
          <cell r="DX268">
            <v>9.5</v>
          </cell>
          <cell r="DY268" t="str">
            <v>--</v>
          </cell>
          <cell r="DZ268" t="str">
            <v>--</v>
          </cell>
          <cell r="EA268" t="str">
            <v>--</v>
          </cell>
          <cell r="EB268" t="str">
            <v>--</v>
          </cell>
          <cell r="EC268" t="str">
            <v>--</v>
          </cell>
          <cell r="ED268" t="str">
            <v>--</v>
          </cell>
          <cell r="EE268" t="str">
            <v>--</v>
          </cell>
          <cell r="EF268" t="str">
            <v>--</v>
          </cell>
          <cell r="EG268" t="str">
            <v>--</v>
          </cell>
        </row>
        <row r="269">
          <cell r="A269" t="str">
            <v>02810023White</v>
          </cell>
          <cell r="B269" t="str">
            <v>02810023C</v>
          </cell>
          <cell r="C269" t="str">
            <v>0281</v>
          </cell>
          <cell r="D269" t="str">
            <v>02810023</v>
          </cell>
          <cell r="E269" t="str">
            <v>Springfield</v>
          </cell>
          <cell r="F269" t="str">
            <v>Milton Bradley School</v>
          </cell>
          <cell r="G269" t="str">
            <v>ES</v>
          </cell>
          <cell r="H269" t="str">
            <v>Springfield - Milton Bradley School (02810023)</v>
          </cell>
          <cell r="I269" t="str">
            <v>White</v>
          </cell>
          <cell r="J269" t="str">
            <v>02810023White</v>
          </cell>
          <cell r="K269" t="str">
            <v>--</v>
          </cell>
          <cell r="L269" t="str">
            <v>--</v>
          </cell>
          <cell r="M269" t="str">
            <v>--</v>
          </cell>
          <cell r="N269" t="str">
            <v>--</v>
          </cell>
          <cell r="O269" t="str">
            <v>--</v>
          </cell>
          <cell r="P269" t="str">
            <v>--</v>
          </cell>
          <cell r="Q269" t="str">
            <v>--</v>
          </cell>
          <cell r="R269" t="str">
            <v>--</v>
          </cell>
          <cell r="S269" t="str">
            <v>--</v>
          </cell>
          <cell r="T269" t="str">
            <v>--</v>
          </cell>
          <cell r="U269" t="str">
            <v>--</v>
          </cell>
          <cell r="V269" t="str">
            <v>--</v>
          </cell>
          <cell r="W269" t="str">
            <v>--</v>
          </cell>
          <cell r="X269" t="str">
            <v>--</v>
          </cell>
          <cell r="Y269" t="str">
            <v>--</v>
          </cell>
          <cell r="Z269" t="str">
            <v>--</v>
          </cell>
          <cell r="AA269" t="str">
            <v>--</v>
          </cell>
          <cell r="AB269" t="str">
            <v>--</v>
          </cell>
          <cell r="AC269" t="str">
            <v>--</v>
          </cell>
          <cell r="AD269" t="str">
            <v>--</v>
          </cell>
          <cell r="AE269" t="str">
            <v>--</v>
          </cell>
          <cell r="AF269" t="str">
            <v>--</v>
          </cell>
          <cell r="AG269" t="str">
            <v>--</v>
          </cell>
          <cell r="AH269" t="str">
            <v>--</v>
          </cell>
          <cell r="AI269" t="str">
            <v>--</v>
          </cell>
          <cell r="AJ269" t="str">
            <v>--</v>
          </cell>
          <cell r="AK269" t="str">
            <v>--</v>
          </cell>
          <cell r="AL269" t="str">
            <v>--</v>
          </cell>
          <cell r="AM269" t="str">
            <v>--</v>
          </cell>
          <cell r="AN269" t="str">
            <v>--</v>
          </cell>
          <cell r="AO269" t="str">
            <v>--</v>
          </cell>
          <cell r="AP269" t="str">
            <v>--</v>
          </cell>
          <cell r="AQ269" t="str">
            <v>--</v>
          </cell>
          <cell r="AR269" t="str">
            <v>--</v>
          </cell>
          <cell r="AS269" t="str">
            <v>--</v>
          </cell>
          <cell r="AT269" t="str">
            <v>--</v>
          </cell>
          <cell r="AU269" t="str">
            <v>--</v>
          </cell>
          <cell r="AV269" t="str">
            <v>--</v>
          </cell>
          <cell r="AW269" t="str">
            <v>--</v>
          </cell>
          <cell r="AX269" t="str">
            <v>--</v>
          </cell>
          <cell r="AY269" t="str">
            <v>--</v>
          </cell>
          <cell r="AZ269" t="str">
            <v>--</v>
          </cell>
          <cell r="BA269" t="str">
            <v>--</v>
          </cell>
          <cell r="BB269" t="str">
            <v>--</v>
          </cell>
          <cell r="BC269" t="str">
            <v>--</v>
          </cell>
          <cell r="BD269" t="str">
            <v>--</v>
          </cell>
          <cell r="BE269" t="str">
            <v>--</v>
          </cell>
          <cell r="BF269" t="str">
            <v>--</v>
          </cell>
          <cell r="BG269" t="str">
            <v>--</v>
          </cell>
          <cell r="BH269" t="str">
            <v>--</v>
          </cell>
          <cell r="BI269" t="str">
            <v>--</v>
          </cell>
          <cell r="BJ269" t="str">
            <v>--</v>
          </cell>
          <cell r="BK269" t="str">
            <v>--</v>
          </cell>
          <cell r="BL269" t="str">
            <v>--</v>
          </cell>
          <cell r="BM269" t="str">
            <v>--</v>
          </cell>
          <cell r="BN269" t="str">
            <v>--</v>
          </cell>
          <cell r="BO269" t="str">
            <v>--</v>
          </cell>
          <cell r="BP269" t="str">
            <v>--</v>
          </cell>
          <cell r="BQ269" t="str">
            <v>--</v>
          </cell>
          <cell r="BR269" t="str">
            <v>--</v>
          </cell>
          <cell r="BS269" t="str">
            <v>--</v>
          </cell>
          <cell r="BT269" t="str">
            <v>--</v>
          </cell>
          <cell r="BU269" t="str">
            <v>--</v>
          </cell>
          <cell r="BV269" t="str">
            <v>--</v>
          </cell>
          <cell r="BW269" t="str">
            <v>--</v>
          </cell>
          <cell r="BX269" t="str">
            <v>--</v>
          </cell>
          <cell r="BY269" t="str">
            <v>--</v>
          </cell>
          <cell r="BZ269" t="str">
            <v>--</v>
          </cell>
          <cell r="CA269" t="str">
            <v>--</v>
          </cell>
          <cell r="CB269" t="str">
            <v>--</v>
          </cell>
          <cell r="CC269" t="str">
            <v>--</v>
          </cell>
          <cell r="CD269" t="str">
            <v>--</v>
          </cell>
          <cell r="CE269" t="str">
            <v>--</v>
          </cell>
          <cell r="CF269" t="str">
            <v>--</v>
          </cell>
          <cell r="CG269" t="str">
            <v>--</v>
          </cell>
          <cell r="CH269" t="str">
            <v>--</v>
          </cell>
          <cell r="CI269" t="str">
            <v>--</v>
          </cell>
          <cell r="CJ269" t="str">
            <v>--</v>
          </cell>
          <cell r="CK269" t="str">
            <v>--</v>
          </cell>
          <cell r="CL269" t="str">
            <v>--</v>
          </cell>
          <cell r="CM269" t="str">
            <v>--</v>
          </cell>
          <cell r="CN269" t="str">
            <v>--</v>
          </cell>
          <cell r="CO269" t="str">
            <v>--</v>
          </cell>
          <cell r="CP269" t="str">
            <v>--</v>
          </cell>
          <cell r="CQ269" t="str">
            <v>--</v>
          </cell>
          <cell r="CR269" t="str">
            <v>--</v>
          </cell>
          <cell r="CS269" t="str">
            <v>--</v>
          </cell>
          <cell r="CT269" t="str">
            <v>--</v>
          </cell>
          <cell r="CU269" t="str">
            <v>--</v>
          </cell>
          <cell r="CV269" t="str">
            <v>--</v>
          </cell>
          <cell r="CW269" t="str">
            <v>--</v>
          </cell>
          <cell r="CX269" t="str">
            <v>--</v>
          </cell>
          <cell r="CY269" t="str">
            <v>--</v>
          </cell>
          <cell r="CZ269" t="str">
            <v>--</v>
          </cell>
          <cell r="DA269" t="str">
            <v>--</v>
          </cell>
          <cell r="DB269" t="str">
            <v>--</v>
          </cell>
          <cell r="DC269" t="str">
            <v>--</v>
          </cell>
          <cell r="DD269" t="str">
            <v>--</v>
          </cell>
          <cell r="DE269" t="str">
            <v>--</v>
          </cell>
          <cell r="DF269" t="str">
            <v>--</v>
          </cell>
          <cell r="DG269" t="str">
            <v>--</v>
          </cell>
          <cell r="DH269" t="str">
            <v>--</v>
          </cell>
          <cell r="DI269" t="str">
            <v>--</v>
          </cell>
          <cell r="DJ269" t="str">
            <v>--</v>
          </cell>
          <cell r="DK269" t="str">
            <v>--</v>
          </cell>
          <cell r="DL269" t="str">
            <v>--</v>
          </cell>
          <cell r="DM269" t="str">
            <v>--</v>
          </cell>
          <cell r="DN269" t="str">
            <v>--</v>
          </cell>
          <cell r="DO269" t="str">
            <v>--</v>
          </cell>
          <cell r="DP269" t="str">
            <v>--</v>
          </cell>
          <cell r="DQ269" t="str">
            <v>--</v>
          </cell>
          <cell r="DR269" t="str">
            <v>--</v>
          </cell>
          <cell r="DS269" t="str">
            <v>--</v>
          </cell>
          <cell r="DT269" t="str">
            <v>--</v>
          </cell>
          <cell r="DU269" t="str">
            <v>--</v>
          </cell>
          <cell r="DV269" t="str">
            <v>--</v>
          </cell>
          <cell r="DW269" t="str">
            <v>--</v>
          </cell>
          <cell r="DX269" t="str">
            <v>--</v>
          </cell>
          <cell r="DY269" t="str">
            <v>--</v>
          </cell>
          <cell r="DZ269" t="str">
            <v>--</v>
          </cell>
          <cell r="EA269" t="str">
            <v>--</v>
          </cell>
          <cell r="EB269" t="str">
            <v>--</v>
          </cell>
          <cell r="EC269" t="str">
            <v>--</v>
          </cell>
          <cell r="ED269" t="str">
            <v>--</v>
          </cell>
          <cell r="EE269" t="str">
            <v>--</v>
          </cell>
          <cell r="EF269" t="str">
            <v>--</v>
          </cell>
          <cell r="EG269" t="str">
            <v>--</v>
          </cell>
        </row>
        <row r="270">
          <cell r="A270" t="str">
            <v>02810023Students w/disabilities</v>
          </cell>
          <cell r="B270" t="str">
            <v>02810023D</v>
          </cell>
          <cell r="C270" t="str">
            <v>0281</v>
          </cell>
          <cell r="D270" t="str">
            <v>02810023</v>
          </cell>
          <cell r="E270" t="str">
            <v>Springfield</v>
          </cell>
          <cell r="F270" t="str">
            <v>Milton Bradley School</v>
          </cell>
          <cell r="G270" t="str">
            <v>ES</v>
          </cell>
          <cell r="H270" t="str">
            <v>Springfield - Milton Bradley School (02810023)</v>
          </cell>
          <cell r="I270" t="str">
            <v>Students w/disabilities</v>
          </cell>
          <cell r="J270" t="str">
            <v>02810023Students w/disabilities</v>
          </cell>
          <cell r="K270" t="str">
            <v>--</v>
          </cell>
          <cell r="L270">
            <v>40.200000000000003</v>
          </cell>
          <cell r="M270">
            <v>45.2</v>
          </cell>
          <cell r="N270">
            <v>32.799999999999997</v>
          </cell>
          <cell r="O270">
            <v>50.2</v>
          </cell>
          <cell r="P270">
            <v>42.6</v>
          </cell>
          <cell r="Q270">
            <v>55.2</v>
          </cell>
          <cell r="R270">
            <v>60.1</v>
          </cell>
          <cell r="S270">
            <v>65.099999999999994</v>
          </cell>
          <cell r="T270">
            <v>70.099999999999994</v>
          </cell>
          <cell r="U270">
            <v>47.7</v>
          </cell>
          <cell r="V270">
            <v>52.1</v>
          </cell>
          <cell r="W270">
            <v>27.3</v>
          </cell>
          <cell r="X270">
            <v>56.4</v>
          </cell>
          <cell r="Y270">
            <v>37.5</v>
          </cell>
          <cell r="Z270">
            <v>60.8</v>
          </cell>
          <cell r="AA270">
            <v>65.099999999999994</v>
          </cell>
          <cell r="AB270">
            <v>69.5</v>
          </cell>
          <cell r="AC270">
            <v>73.900000000000006</v>
          </cell>
          <cell r="AD270" t="str">
            <v>--</v>
          </cell>
          <cell r="AE270" t="str">
            <v>--</v>
          </cell>
          <cell r="AF270" t="str">
            <v>--</v>
          </cell>
          <cell r="AG270" t="str">
            <v>--</v>
          </cell>
          <cell r="AH270" t="str">
            <v>--</v>
          </cell>
          <cell r="AI270" t="str">
            <v>--</v>
          </cell>
          <cell r="AJ270" t="str">
            <v>--</v>
          </cell>
          <cell r="AK270" t="str">
            <v>--</v>
          </cell>
          <cell r="AL270" t="str">
            <v>--</v>
          </cell>
          <cell r="AM270" t="str">
            <v>--</v>
          </cell>
          <cell r="AN270" t="str">
            <v>--</v>
          </cell>
          <cell r="AO270" t="str">
            <v>--</v>
          </cell>
          <cell r="AP270" t="str">
            <v>--</v>
          </cell>
          <cell r="AQ270" t="str">
            <v>--</v>
          </cell>
          <cell r="AR270" t="str">
            <v>--</v>
          </cell>
          <cell r="AS270" t="str">
            <v>--</v>
          </cell>
          <cell r="AT270" t="str">
            <v>--</v>
          </cell>
          <cell r="AU270" t="str">
            <v>--</v>
          </cell>
          <cell r="AV270" t="str">
            <v>--</v>
          </cell>
          <cell r="AW270" t="str">
            <v>--</v>
          </cell>
          <cell r="AX270" t="str">
            <v>--</v>
          </cell>
          <cell r="AY270" t="str">
            <v>--</v>
          </cell>
          <cell r="AZ270" t="str">
            <v>--</v>
          </cell>
          <cell r="BA270" t="str">
            <v>--</v>
          </cell>
          <cell r="BB270" t="str">
            <v>--</v>
          </cell>
          <cell r="BC270" t="str">
            <v>--</v>
          </cell>
          <cell r="BD270" t="str">
            <v>--</v>
          </cell>
          <cell r="BE270" t="str">
            <v>--</v>
          </cell>
          <cell r="BF270" t="str">
            <v>--</v>
          </cell>
          <cell r="BG270" t="str">
            <v>--</v>
          </cell>
          <cell r="BH270" t="str">
            <v>--</v>
          </cell>
          <cell r="BI270" t="str">
            <v>--</v>
          </cell>
          <cell r="BJ270" t="str">
            <v>--</v>
          </cell>
          <cell r="BK270" t="str">
            <v>--</v>
          </cell>
          <cell r="BL270" t="str">
            <v>--</v>
          </cell>
          <cell r="BM270" t="str">
            <v>--</v>
          </cell>
          <cell r="BN270" t="str">
            <v>--</v>
          </cell>
          <cell r="BO270" t="str">
            <v>--</v>
          </cell>
          <cell r="BP270" t="str">
            <v>--</v>
          </cell>
          <cell r="BQ270" t="str">
            <v>--</v>
          </cell>
          <cell r="BR270" t="str">
            <v>--</v>
          </cell>
          <cell r="BS270" t="str">
            <v>--</v>
          </cell>
          <cell r="BT270" t="str">
            <v>--</v>
          </cell>
          <cell r="BU270" t="str">
            <v>--</v>
          </cell>
          <cell r="BV270" t="str">
            <v>--</v>
          </cell>
          <cell r="BW270" t="str">
            <v>--</v>
          </cell>
          <cell r="BX270" t="str">
            <v>--</v>
          </cell>
          <cell r="BY270" t="str">
            <v>--</v>
          </cell>
          <cell r="BZ270" t="str">
            <v>--</v>
          </cell>
          <cell r="CA270" t="str">
            <v>--</v>
          </cell>
          <cell r="CB270" t="str">
            <v>--</v>
          </cell>
          <cell r="CC270" t="str">
            <v>--</v>
          </cell>
          <cell r="CD270" t="str">
            <v>--</v>
          </cell>
          <cell r="CE270" t="str">
            <v>--</v>
          </cell>
          <cell r="CF270">
            <v>57.6</v>
          </cell>
          <cell r="CG270">
            <v>51.8</v>
          </cell>
          <cell r="CH270">
            <v>71.900000000000006</v>
          </cell>
          <cell r="CI270">
            <v>64.7</v>
          </cell>
          <cell r="CJ270">
            <v>63.8</v>
          </cell>
          <cell r="CK270">
            <v>57.4</v>
          </cell>
          <cell r="CL270">
            <v>51.7</v>
          </cell>
          <cell r="CM270">
            <v>46.5</v>
          </cell>
          <cell r="CN270">
            <v>41.9</v>
          </cell>
          <cell r="CO270">
            <v>40.6</v>
          </cell>
          <cell r="CP270">
            <v>36.5</v>
          </cell>
          <cell r="CQ270">
            <v>78.099999999999994</v>
          </cell>
          <cell r="CR270">
            <v>70.3</v>
          </cell>
          <cell r="CS270">
            <v>67.400000000000006</v>
          </cell>
          <cell r="CT270">
            <v>60.7</v>
          </cell>
          <cell r="CU270">
            <v>54.6</v>
          </cell>
          <cell r="CV270">
            <v>49.1</v>
          </cell>
          <cell r="CW270">
            <v>44.2</v>
          </cell>
          <cell r="CX270" t="str">
            <v>--</v>
          </cell>
          <cell r="CY270" t="str">
            <v>--</v>
          </cell>
          <cell r="CZ270" t="str">
            <v>--</v>
          </cell>
          <cell r="DA270" t="str">
            <v>--</v>
          </cell>
          <cell r="DB270" t="str">
            <v>--</v>
          </cell>
          <cell r="DC270" t="str">
            <v>--</v>
          </cell>
          <cell r="DD270" t="str">
            <v>--</v>
          </cell>
          <cell r="DE270" t="str">
            <v>--</v>
          </cell>
          <cell r="DF270" t="str">
            <v>--</v>
          </cell>
          <cell r="DG270">
            <v>0</v>
          </cell>
          <cell r="DH270">
            <v>1</v>
          </cell>
          <cell r="DI270">
            <v>0</v>
          </cell>
          <cell r="DJ270">
            <v>1</v>
          </cell>
          <cell r="DK270">
            <v>0</v>
          </cell>
          <cell r="DL270">
            <v>1</v>
          </cell>
          <cell r="DM270">
            <v>1.1000000000000001</v>
          </cell>
          <cell r="DN270">
            <v>1.2</v>
          </cell>
          <cell r="DO270">
            <v>1.3</v>
          </cell>
          <cell r="DP270">
            <v>0</v>
          </cell>
          <cell r="DQ270">
            <v>1</v>
          </cell>
          <cell r="DR270">
            <v>0</v>
          </cell>
          <cell r="DS270">
            <v>1</v>
          </cell>
          <cell r="DT270">
            <v>0</v>
          </cell>
          <cell r="DU270">
            <v>1</v>
          </cell>
          <cell r="DV270">
            <v>1.1000000000000001</v>
          </cell>
          <cell r="DW270">
            <v>1.2</v>
          </cell>
          <cell r="DX270">
            <v>1.3</v>
          </cell>
          <cell r="DY270" t="str">
            <v>--</v>
          </cell>
          <cell r="DZ270" t="str">
            <v>--</v>
          </cell>
          <cell r="EA270" t="str">
            <v>--</v>
          </cell>
          <cell r="EB270" t="str">
            <v>--</v>
          </cell>
          <cell r="EC270" t="str">
            <v>--</v>
          </cell>
          <cell r="ED270" t="str">
            <v>--</v>
          </cell>
          <cell r="EE270" t="str">
            <v>--</v>
          </cell>
          <cell r="EF270" t="str">
            <v>--</v>
          </cell>
          <cell r="EG270" t="str">
            <v>--</v>
          </cell>
        </row>
        <row r="271">
          <cell r="A271" t="str">
            <v>02810023Low income</v>
          </cell>
          <cell r="B271" t="str">
            <v>02810023F</v>
          </cell>
          <cell r="C271" t="str">
            <v>0281</v>
          </cell>
          <cell r="D271" t="str">
            <v>02810023</v>
          </cell>
          <cell r="E271" t="str">
            <v>Springfield</v>
          </cell>
          <cell r="F271" t="str">
            <v>Milton Bradley School</v>
          </cell>
          <cell r="G271" t="str">
            <v>ES</v>
          </cell>
          <cell r="H271" t="str">
            <v>Springfield - Milton Bradley School (02810023)</v>
          </cell>
          <cell r="I271" t="str">
            <v>Low income</v>
          </cell>
          <cell r="J271" t="str">
            <v>02810023Low income</v>
          </cell>
          <cell r="K271" t="str">
            <v>--</v>
          </cell>
          <cell r="L271">
            <v>65.099999999999994</v>
          </cell>
          <cell r="M271">
            <v>68</v>
          </cell>
          <cell r="N271">
            <v>61</v>
          </cell>
          <cell r="O271">
            <v>70.900000000000006</v>
          </cell>
          <cell r="P271">
            <v>58.5</v>
          </cell>
          <cell r="Q271">
            <v>73.8</v>
          </cell>
          <cell r="R271">
            <v>76.7</v>
          </cell>
          <cell r="S271">
            <v>79.599999999999994</v>
          </cell>
          <cell r="T271">
            <v>82.6</v>
          </cell>
          <cell r="U271">
            <v>57.9</v>
          </cell>
          <cell r="V271">
            <v>61.4</v>
          </cell>
          <cell r="W271">
            <v>47.6</v>
          </cell>
          <cell r="X271">
            <v>64.900000000000006</v>
          </cell>
          <cell r="Y271">
            <v>51.3</v>
          </cell>
          <cell r="Z271">
            <v>68.400000000000006</v>
          </cell>
          <cell r="AA271">
            <v>71.900000000000006</v>
          </cell>
          <cell r="AB271">
            <v>75.400000000000006</v>
          </cell>
          <cell r="AC271">
            <v>79</v>
          </cell>
          <cell r="AD271">
            <v>54.5</v>
          </cell>
          <cell r="AE271">
            <v>58.3</v>
          </cell>
          <cell r="AF271">
            <v>45.3</v>
          </cell>
          <cell r="AG271">
            <v>62.1</v>
          </cell>
          <cell r="AH271">
            <v>52.1</v>
          </cell>
          <cell r="AI271">
            <v>65.900000000000006</v>
          </cell>
          <cell r="AJ271">
            <v>69.7</v>
          </cell>
          <cell r="AK271">
            <v>73.5</v>
          </cell>
          <cell r="AL271">
            <v>77.3</v>
          </cell>
          <cell r="AM271" t="str">
            <v>--</v>
          </cell>
          <cell r="AN271" t="str">
            <v>--</v>
          </cell>
          <cell r="AO271" t="str">
            <v>--</v>
          </cell>
          <cell r="AP271" t="str">
            <v>--</v>
          </cell>
          <cell r="AQ271" t="str">
            <v>--</v>
          </cell>
          <cell r="AR271" t="str">
            <v>--</v>
          </cell>
          <cell r="AS271" t="str">
            <v>--</v>
          </cell>
          <cell r="AT271" t="str">
            <v>--</v>
          </cell>
          <cell r="AU271" t="str">
            <v>--</v>
          </cell>
          <cell r="AV271" t="str">
            <v>--</v>
          </cell>
          <cell r="AW271" t="str">
            <v>--</v>
          </cell>
          <cell r="AX271" t="str">
            <v>--</v>
          </cell>
          <cell r="AY271" t="str">
            <v>--</v>
          </cell>
          <cell r="AZ271" t="str">
            <v>--</v>
          </cell>
          <cell r="BA271" t="str">
            <v>--</v>
          </cell>
          <cell r="BB271" t="str">
            <v>--</v>
          </cell>
          <cell r="BC271" t="str">
            <v>--</v>
          </cell>
          <cell r="BD271" t="str">
            <v>--</v>
          </cell>
          <cell r="BE271" t="str">
            <v>--</v>
          </cell>
          <cell r="BF271" t="str">
            <v>--</v>
          </cell>
          <cell r="BG271" t="str">
            <v>--</v>
          </cell>
          <cell r="BH271" t="str">
            <v>--</v>
          </cell>
          <cell r="BI271" t="str">
            <v>--</v>
          </cell>
          <cell r="BJ271" t="str">
            <v>--</v>
          </cell>
          <cell r="BK271" t="str">
            <v>--</v>
          </cell>
          <cell r="BL271" t="str">
            <v>--</v>
          </cell>
          <cell r="BM271" t="str">
            <v>--</v>
          </cell>
          <cell r="BN271">
            <v>51</v>
          </cell>
          <cell r="BO271">
            <v>51</v>
          </cell>
          <cell r="BP271">
            <v>40</v>
          </cell>
          <cell r="BQ271">
            <v>50</v>
          </cell>
          <cell r="BR271">
            <v>37.5</v>
          </cell>
          <cell r="BS271">
            <v>47.5</v>
          </cell>
          <cell r="BT271">
            <v>51</v>
          </cell>
          <cell r="BU271">
            <v>51</v>
          </cell>
          <cell r="BV271">
            <v>51</v>
          </cell>
          <cell r="BW271">
            <v>27</v>
          </cell>
          <cell r="BX271">
            <v>37</v>
          </cell>
          <cell r="BY271">
            <v>32.5</v>
          </cell>
          <cell r="BZ271">
            <v>42.5</v>
          </cell>
          <cell r="CA271">
            <v>44</v>
          </cell>
          <cell r="CB271">
            <v>51</v>
          </cell>
          <cell r="CC271">
            <v>51</v>
          </cell>
          <cell r="CD271">
            <v>51</v>
          </cell>
          <cell r="CE271">
            <v>51</v>
          </cell>
          <cell r="CF271">
            <v>21.9</v>
          </cell>
          <cell r="CG271">
            <v>19.7</v>
          </cell>
          <cell r="CH271">
            <v>26.5</v>
          </cell>
          <cell r="CI271">
            <v>23.9</v>
          </cell>
          <cell r="CJ271">
            <v>31.6</v>
          </cell>
          <cell r="CK271">
            <v>28.4</v>
          </cell>
          <cell r="CL271">
            <v>25.6</v>
          </cell>
          <cell r="CM271">
            <v>23</v>
          </cell>
          <cell r="CN271">
            <v>20.7</v>
          </cell>
          <cell r="CO271">
            <v>26.8</v>
          </cell>
          <cell r="CP271">
            <v>24.1</v>
          </cell>
          <cell r="CQ271">
            <v>44.1</v>
          </cell>
          <cell r="CR271">
            <v>39.700000000000003</v>
          </cell>
          <cell r="CS271">
            <v>42.2</v>
          </cell>
          <cell r="CT271">
            <v>38</v>
          </cell>
          <cell r="CU271">
            <v>34.200000000000003</v>
          </cell>
          <cell r="CV271">
            <v>30.8</v>
          </cell>
          <cell r="CW271">
            <v>27.7</v>
          </cell>
          <cell r="CX271">
            <v>28.6</v>
          </cell>
          <cell r="CY271">
            <v>25.7</v>
          </cell>
          <cell r="CZ271">
            <v>43.1</v>
          </cell>
          <cell r="DA271">
            <v>38.799999999999997</v>
          </cell>
          <cell r="DB271">
            <v>41.7</v>
          </cell>
          <cell r="DC271">
            <v>37.5</v>
          </cell>
          <cell r="DD271">
            <v>33.799999999999997</v>
          </cell>
          <cell r="DE271">
            <v>30.4</v>
          </cell>
          <cell r="DF271">
            <v>27.4</v>
          </cell>
          <cell r="DG271">
            <v>1.2</v>
          </cell>
          <cell r="DH271">
            <v>1.3</v>
          </cell>
          <cell r="DI271">
            <v>1.8</v>
          </cell>
          <cell r="DJ271">
            <v>2</v>
          </cell>
          <cell r="DK271">
            <v>0.5</v>
          </cell>
          <cell r="DL271">
            <v>0.6</v>
          </cell>
          <cell r="DM271">
            <v>0.6</v>
          </cell>
          <cell r="DN271">
            <v>0.7</v>
          </cell>
          <cell r="DO271">
            <v>0.7</v>
          </cell>
          <cell r="DP271">
            <v>1.8</v>
          </cell>
          <cell r="DQ271">
            <v>2</v>
          </cell>
          <cell r="DR271">
            <v>1.8</v>
          </cell>
          <cell r="DS271">
            <v>2</v>
          </cell>
          <cell r="DT271">
            <v>4.2</v>
          </cell>
          <cell r="DU271">
            <v>4.5999999999999996</v>
          </cell>
          <cell r="DV271">
            <v>5.0999999999999996</v>
          </cell>
          <cell r="DW271">
            <v>5.6</v>
          </cell>
          <cell r="DX271">
            <v>6.1</v>
          </cell>
          <cell r="DY271">
            <v>0</v>
          </cell>
          <cell r="DZ271">
            <v>1</v>
          </cell>
          <cell r="EA271">
            <v>0</v>
          </cell>
          <cell r="EB271">
            <v>1</v>
          </cell>
          <cell r="EC271">
            <v>3.3</v>
          </cell>
          <cell r="ED271">
            <v>3.6</v>
          </cell>
          <cell r="EE271">
            <v>4</v>
          </cell>
          <cell r="EF271">
            <v>4.4000000000000004</v>
          </cell>
          <cell r="EG271">
            <v>4.8</v>
          </cell>
        </row>
        <row r="272">
          <cell r="A272" t="str">
            <v>02810023Hispanic/Latino</v>
          </cell>
          <cell r="B272" t="str">
            <v>02810023H</v>
          </cell>
          <cell r="C272" t="str">
            <v>0281</v>
          </cell>
          <cell r="D272" t="str">
            <v>02810023</v>
          </cell>
          <cell r="E272" t="str">
            <v>Springfield</v>
          </cell>
          <cell r="F272" t="str">
            <v>Milton Bradley School</v>
          </cell>
          <cell r="G272" t="str">
            <v>ES</v>
          </cell>
          <cell r="H272" t="str">
            <v>Springfield - Milton Bradley School (02810023)</v>
          </cell>
          <cell r="I272" t="str">
            <v>Hispanic/Latino</v>
          </cell>
          <cell r="J272" t="str">
            <v>02810023Hispanic/Latino</v>
          </cell>
          <cell r="K272" t="str">
            <v>--</v>
          </cell>
          <cell r="L272">
            <v>63.3</v>
          </cell>
          <cell r="M272">
            <v>66.400000000000006</v>
          </cell>
          <cell r="N272">
            <v>63.5</v>
          </cell>
          <cell r="O272">
            <v>69.400000000000006</v>
          </cell>
          <cell r="P272">
            <v>58.7</v>
          </cell>
          <cell r="Q272">
            <v>72.5</v>
          </cell>
          <cell r="R272">
            <v>75.5</v>
          </cell>
          <cell r="S272">
            <v>78.599999999999994</v>
          </cell>
          <cell r="T272">
            <v>81.7</v>
          </cell>
          <cell r="U272">
            <v>58.5</v>
          </cell>
          <cell r="V272">
            <v>62</v>
          </cell>
          <cell r="W272">
            <v>50</v>
          </cell>
          <cell r="X272">
            <v>65.400000000000006</v>
          </cell>
          <cell r="Y272">
            <v>50.8</v>
          </cell>
          <cell r="Z272">
            <v>68.900000000000006</v>
          </cell>
          <cell r="AA272">
            <v>72.3</v>
          </cell>
          <cell r="AB272">
            <v>75.8</v>
          </cell>
          <cell r="AC272">
            <v>79.3</v>
          </cell>
          <cell r="AD272">
            <v>54.7</v>
          </cell>
          <cell r="AE272">
            <v>58.5</v>
          </cell>
          <cell r="AF272">
            <v>45.2</v>
          </cell>
          <cell r="AG272">
            <v>62.3</v>
          </cell>
          <cell r="AH272">
            <v>53.6</v>
          </cell>
          <cell r="AI272">
            <v>66</v>
          </cell>
          <cell r="AJ272">
            <v>69.8</v>
          </cell>
          <cell r="AK272">
            <v>73.599999999999994</v>
          </cell>
          <cell r="AL272">
            <v>77.400000000000006</v>
          </cell>
          <cell r="AM272" t="str">
            <v>--</v>
          </cell>
          <cell r="AN272" t="str">
            <v>--</v>
          </cell>
          <cell r="AO272" t="str">
            <v>--</v>
          </cell>
          <cell r="AP272" t="str">
            <v>--</v>
          </cell>
          <cell r="AQ272" t="str">
            <v>--</v>
          </cell>
          <cell r="AR272" t="str">
            <v>--</v>
          </cell>
          <cell r="AS272" t="str">
            <v>--</v>
          </cell>
          <cell r="AT272" t="str">
            <v>--</v>
          </cell>
          <cell r="AU272" t="str">
            <v>--</v>
          </cell>
          <cell r="AV272" t="str">
            <v>--</v>
          </cell>
          <cell r="AW272" t="str">
            <v>--</v>
          </cell>
          <cell r="AX272" t="str">
            <v>--</v>
          </cell>
          <cell r="AY272" t="str">
            <v>--</v>
          </cell>
          <cell r="AZ272" t="str">
            <v>--</v>
          </cell>
          <cell r="BA272" t="str">
            <v>--</v>
          </cell>
          <cell r="BB272" t="str">
            <v>--</v>
          </cell>
          <cell r="BC272" t="str">
            <v>--</v>
          </cell>
          <cell r="BD272" t="str">
            <v>--</v>
          </cell>
          <cell r="BE272" t="str">
            <v>--</v>
          </cell>
          <cell r="BF272" t="str">
            <v>--</v>
          </cell>
          <cell r="BG272" t="str">
            <v>--</v>
          </cell>
          <cell r="BH272" t="str">
            <v>--</v>
          </cell>
          <cell r="BI272" t="str">
            <v>--</v>
          </cell>
          <cell r="BJ272" t="str">
            <v>--</v>
          </cell>
          <cell r="BK272" t="str">
            <v>--</v>
          </cell>
          <cell r="BL272" t="str">
            <v>--</v>
          </cell>
          <cell r="BM272" t="str">
            <v>--</v>
          </cell>
          <cell r="BN272">
            <v>46.5</v>
          </cell>
          <cell r="BO272">
            <v>51</v>
          </cell>
          <cell r="BP272">
            <v>40</v>
          </cell>
          <cell r="BQ272">
            <v>50</v>
          </cell>
          <cell r="BR272">
            <v>35</v>
          </cell>
          <cell r="BS272">
            <v>45</v>
          </cell>
          <cell r="BT272">
            <v>51</v>
          </cell>
          <cell r="BU272">
            <v>51</v>
          </cell>
          <cell r="BV272">
            <v>51</v>
          </cell>
          <cell r="BW272">
            <v>26</v>
          </cell>
          <cell r="BX272">
            <v>36</v>
          </cell>
          <cell r="BY272">
            <v>29</v>
          </cell>
          <cell r="BZ272">
            <v>39</v>
          </cell>
          <cell r="CA272">
            <v>35</v>
          </cell>
          <cell r="CB272">
            <v>45</v>
          </cell>
          <cell r="CC272">
            <v>51</v>
          </cell>
          <cell r="CD272">
            <v>51</v>
          </cell>
          <cell r="CE272">
            <v>51</v>
          </cell>
          <cell r="CF272">
            <v>25.8</v>
          </cell>
          <cell r="CG272">
            <v>23.2</v>
          </cell>
          <cell r="CH272">
            <v>25.8</v>
          </cell>
          <cell r="CI272">
            <v>23.2</v>
          </cell>
          <cell r="CJ272">
            <v>32.299999999999997</v>
          </cell>
          <cell r="CK272">
            <v>29.1</v>
          </cell>
          <cell r="CL272">
            <v>26.2</v>
          </cell>
          <cell r="CM272">
            <v>23.5</v>
          </cell>
          <cell r="CN272">
            <v>21.2</v>
          </cell>
          <cell r="CO272">
            <v>25.2</v>
          </cell>
          <cell r="CP272">
            <v>22.7</v>
          </cell>
          <cell r="CQ272">
            <v>42.2</v>
          </cell>
          <cell r="CR272">
            <v>38</v>
          </cell>
          <cell r="CS272">
            <v>46.1</v>
          </cell>
          <cell r="CT272">
            <v>41.5</v>
          </cell>
          <cell r="CU272">
            <v>37.299999999999997</v>
          </cell>
          <cell r="CV272">
            <v>33.6</v>
          </cell>
          <cell r="CW272">
            <v>30.2</v>
          </cell>
          <cell r="CX272">
            <v>30.2</v>
          </cell>
          <cell r="CY272">
            <v>27.2</v>
          </cell>
          <cell r="CZ272">
            <v>42.9</v>
          </cell>
          <cell r="DA272">
            <v>38.6</v>
          </cell>
          <cell r="DB272">
            <v>40.799999999999997</v>
          </cell>
          <cell r="DC272">
            <v>36.700000000000003</v>
          </cell>
          <cell r="DD272">
            <v>33</v>
          </cell>
          <cell r="DE272">
            <v>29.7</v>
          </cell>
          <cell r="DF272">
            <v>26.8</v>
          </cell>
          <cell r="DG272">
            <v>1.6</v>
          </cell>
          <cell r="DH272">
            <v>1.8</v>
          </cell>
          <cell r="DI272">
            <v>2.2999999999999998</v>
          </cell>
          <cell r="DJ272">
            <v>2.5</v>
          </cell>
          <cell r="DK272">
            <v>0.6</v>
          </cell>
          <cell r="DL272">
            <v>0.7</v>
          </cell>
          <cell r="DM272">
            <v>0.7</v>
          </cell>
          <cell r="DN272">
            <v>0.8</v>
          </cell>
          <cell r="DO272">
            <v>0.9</v>
          </cell>
          <cell r="DP272">
            <v>0.8</v>
          </cell>
          <cell r="DQ272">
            <v>0.9</v>
          </cell>
          <cell r="DR272">
            <v>2.2999999999999998</v>
          </cell>
          <cell r="DS272">
            <v>2.5</v>
          </cell>
          <cell r="DT272">
            <v>4.5</v>
          </cell>
          <cell r="DU272">
            <v>5</v>
          </cell>
          <cell r="DV272">
            <v>5.4</v>
          </cell>
          <cell r="DW272">
            <v>6</v>
          </cell>
          <cell r="DX272">
            <v>6.6</v>
          </cell>
          <cell r="DY272">
            <v>0</v>
          </cell>
          <cell r="DZ272">
            <v>1</v>
          </cell>
          <cell r="EA272">
            <v>0</v>
          </cell>
          <cell r="EB272">
            <v>1</v>
          </cell>
          <cell r="EC272">
            <v>4.0999999999999996</v>
          </cell>
          <cell r="ED272">
            <v>4.5</v>
          </cell>
          <cell r="EE272">
            <v>5</v>
          </cell>
          <cell r="EF272">
            <v>5.5</v>
          </cell>
          <cell r="EG272">
            <v>6</v>
          </cell>
        </row>
        <row r="273">
          <cell r="A273" t="str">
            <v>02810023ELL and Former ELL</v>
          </cell>
          <cell r="B273" t="str">
            <v>02810023L</v>
          </cell>
          <cell r="C273" t="str">
            <v>0281</v>
          </cell>
          <cell r="D273" t="str">
            <v>02810023</v>
          </cell>
          <cell r="E273" t="str">
            <v>Springfield</v>
          </cell>
          <cell r="F273" t="str">
            <v>Milton Bradley School</v>
          </cell>
          <cell r="G273" t="str">
            <v>ES</v>
          </cell>
          <cell r="H273" t="str">
            <v>Springfield - Milton Bradley School (02810023)</v>
          </cell>
          <cell r="I273" t="str">
            <v>ELL and Former ELL</v>
          </cell>
          <cell r="J273" t="str">
            <v>02810023ELL and Former ELL</v>
          </cell>
          <cell r="K273" t="str">
            <v>--</v>
          </cell>
          <cell r="L273">
            <v>63.2</v>
          </cell>
          <cell r="M273">
            <v>66.3</v>
          </cell>
          <cell r="N273">
            <v>57.4</v>
          </cell>
          <cell r="O273">
            <v>69.3</v>
          </cell>
          <cell r="P273">
            <v>52.6</v>
          </cell>
          <cell r="Q273">
            <v>72.400000000000006</v>
          </cell>
          <cell r="R273">
            <v>75.5</v>
          </cell>
          <cell r="S273">
            <v>78.5</v>
          </cell>
          <cell r="T273">
            <v>81.599999999999994</v>
          </cell>
          <cell r="U273">
            <v>59.4</v>
          </cell>
          <cell r="V273">
            <v>62.8</v>
          </cell>
          <cell r="W273">
            <v>47.9</v>
          </cell>
          <cell r="X273">
            <v>66.2</v>
          </cell>
          <cell r="Y273">
            <v>48.7</v>
          </cell>
          <cell r="Z273">
            <v>69.599999999999994</v>
          </cell>
          <cell r="AA273">
            <v>72.900000000000006</v>
          </cell>
          <cell r="AB273">
            <v>76.3</v>
          </cell>
          <cell r="AC273">
            <v>79.7</v>
          </cell>
          <cell r="AD273" t="str">
            <v>--</v>
          </cell>
          <cell r="AE273" t="str">
            <v>--</v>
          </cell>
          <cell r="AF273" t="str">
            <v>--</v>
          </cell>
          <cell r="AG273" t="str">
            <v>--</v>
          </cell>
          <cell r="AH273" t="str">
            <v>--</v>
          </cell>
          <cell r="AI273" t="str">
            <v>--</v>
          </cell>
          <cell r="AJ273" t="str">
            <v>--</v>
          </cell>
          <cell r="AK273" t="str">
            <v>--</v>
          </cell>
          <cell r="AL273" t="str">
            <v>--</v>
          </cell>
          <cell r="AM273" t="str">
            <v>--</v>
          </cell>
          <cell r="AN273" t="str">
            <v>--</v>
          </cell>
          <cell r="AO273" t="str">
            <v>--</v>
          </cell>
          <cell r="AP273" t="str">
            <v>--</v>
          </cell>
          <cell r="AQ273" t="str">
            <v>--</v>
          </cell>
          <cell r="AR273" t="str">
            <v>--</v>
          </cell>
          <cell r="AS273" t="str">
            <v>--</v>
          </cell>
          <cell r="AT273" t="str">
            <v>--</v>
          </cell>
          <cell r="AU273" t="str">
            <v>--</v>
          </cell>
          <cell r="AV273" t="str">
            <v>--</v>
          </cell>
          <cell r="AW273" t="str">
            <v>--</v>
          </cell>
          <cell r="AX273" t="str">
            <v>--</v>
          </cell>
          <cell r="AY273" t="str">
            <v>--</v>
          </cell>
          <cell r="AZ273" t="str">
            <v>--</v>
          </cell>
          <cell r="BA273" t="str">
            <v>--</v>
          </cell>
          <cell r="BB273" t="str">
            <v>--</v>
          </cell>
          <cell r="BC273" t="str">
            <v>--</v>
          </cell>
          <cell r="BD273" t="str">
            <v>--</v>
          </cell>
          <cell r="BE273" t="str">
            <v>--</v>
          </cell>
          <cell r="BF273" t="str">
            <v>--</v>
          </cell>
          <cell r="BG273" t="str">
            <v>--</v>
          </cell>
          <cell r="BH273" t="str">
            <v>--</v>
          </cell>
          <cell r="BI273" t="str">
            <v>--</v>
          </cell>
          <cell r="BJ273" t="str">
            <v>--</v>
          </cell>
          <cell r="BK273" t="str">
            <v>--</v>
          </cell>
          <cell r="BL273" t="str">
            <v>--</v>
          </cell>
          <cell r="BM273" t="str">
            <v>--</v>
          </cell>
          <cell r="BN273" t="str">
            <v>--</v>
          </cell>
          <cell r="BO273" t="str">
            <v>--</v>
          </cell>
          <cell r="BP273" t="str">
            <v>--</v>
          </cell>
          <cell r="BQ273" t="str">
            <v>--</v>
          </cell>
          <cell r="BR273" t="str">
            <v>--</v>
          </cell>
          <cell r="BS273" t="str">
            <v>--</v>
          </cell>
          <cell r="BT273" t="str">
            <v>--</v>
          </cell>
          <cell r="BU273" t="str">
            <v>--</v>
          </cell>
          <cell r="BV273" t="str">
            <v>--</v>
          </cell>
          <cell r="BW273">
            <v>25.5</v>
          </cell>
          <cell r="BX273">
            <v>35.5</v>
          </cell>
          <cell r="BY273">
            <v>19</v>
          </cell>
          <cell r="BZ273">
            <v>35.5</v>
          </cell>
          <cell r="CA273">
            <v>26.5</v>
          </cell>
          <cell r="CB273">
            <v>45.5</v>
          </cell>
          <cell r="CC273">
            <v>51</v>
          </cell>
          <cell r="CD273">
            <v>51</v>
          </cell>
          <cell r="CE273">
            <v>51</v>
          </cell>
          <cell r="CF273">
            <v>24.5</v>
          </cell>
          <cell r="CG273">
            <v>22.1</v>
          </cell>
          <cell r="CH273">
            <v>38.299999999999997</v>
          </cell>
          <cell r="CI273">
            <v>34.5</v>
          </cell>
          <cell r="CJ273">
            <v>42.1</v>
          </cell>
          <cell r="CK273">
            <v>37.9</v>
          </cell>
          <cell r="CL273">
            <v>34.1</v>
          </cell>
          <cell r="CM273">
            <v>30.7</v>
          </cell>
          <cell r="CN273">
            <v>27.6</v>
          </cell>
          <cell r="CO273">
            <v>30.2</v>
          </cell>
          <cell r="CP273">
            <v>27.2</v>
          </cell>
          <cell r="CQ273">
            <v>44.7</v>
          </cell>
          <cell r="CR273">
            <v>40.200000000000003</v>
          </cell>
          <cell r="CS273">
            <v>48.2</v>
          </cell>
          <cell r="CT273">
            <v>43.4</v>
          </cell>
          <cell r="CU273">
            <v>39</v>
          </cell>
          <cell r="CV273">
            <v>35.1</v>
          </cell>
          <cell r="CW273">
            <v>31.6</v>
          </cell>
          <cell r="CX273" t="str">
            <v>--</v>
          </cell>
          <cell r="CY273" t="str">
            <v>--</v>
          </cell>
          <cell r="CZ273" t="str">
            <v>--</v>
          </cell>
          <cell r="DA273" t="str">
            <v>--</v>
          </cell>
          <cell r="DB273" t="str">
            <v>--</v>
          </cell>
          <cell r="DC273" t="str">
            <v>--</v>
          </cell>
          <cell r="DD273" t="str">
            <v>--</v>
          </cell>
          <cell r="DE273" t="str">
            <v>--</v>
          </cell>
          <cell r="DF273" t="str">
            <v>--</v>
          </cell>
          <cell r="DG273">
            <v>0</v>
          </cell>
          <cell r="DH273">
            <v>1</v>
          </cell>
          <cell r="DI273">
            <v>2.1</v>
          </cell>
          <cell r="DJ273">
            <v>2.2999999999999998</v>
          </cell>
          <cell r="DK273">
            <v>0</v>
          </cell>
          <cell r="DL273">
            <v>1</v>
          </cell>
          <cell r="DM273">
            <v>1.1000000000000001</v>
          </cell>
          <cell r="DN273">
            <v>1.2</v>
          </cell>
          <cell r="DO273">
            <v>1.3</v>
          </cell>
          <cell r="DP273">
            <v>0</v>
          </cell>
          <cell r="DQ273">
            <v>1</v>
          </cell>
          <cell r="DR273">
            <v>0</v>
          </cell>
          <cell r="DS273">
            <v>1</v>
          </cell>
          <cell r="DT273">
            <v>0</v>
          </cell>
          <cell r="DU273">
            <v>1</v>
          </cell>
          <cell r="DV273">
            <v>1.1000000000000001</v>
          </cell>
          <cell r="DW273">
            <v>1.2</v>
          </cell>
          <cell r="DX273">
            <v>1.3</v>
          </cell>
          <cell r="DY273" t="str">
            <v>--</v>
          </cell>
          <cell r="DZ273" t="str">
            <v>--</v>
          </cell>
          <cell r="EA273" t="str">
            <v>--</v>
          </cell>
          <cell r="EB273" t="str">
            <v>--</v>
          </cell>
          <cell r="EC273" t="str">
            <v>--</v>
          </cell>
          <cell r="ED273" t="str">
            <v>--</v>
          </cell>
          <cell r="EE273" t="str">
            <v>--</v>
          </cell>
          <cell r="EF273" t="str">
            <v>--</v>
          </cell>
          <cell r="EG273" t="str">
            <v>--</v>
          </cell>
        </row>
        <row r="274">
          <cell r="A274" t="str">
            <v>02810023Multi-race, Non-Hisp./Lat.</v>
          </cell>
          <cell r="B274" t="str">
            <v>02810023M</v>
          </cell>
          <cell r="C274" t="str">
            <v>0281</v>
          </cell>
          <cell r="D274" t="str">
            <v>02810023</v>
          </cell>
          <cell r="E274" t="str">
            <v>Springfield</v>
          </cell>
          <cell r="F274" t="str">
            <v>Milton Bradley School</v>
          </cell>
          <cell r="G274" t="str">
            <v>ES</v>
          </cell>
          <cell r="H274" t="str">
            <v>Springfield - Milton Bradley School (02810023)</v>
          </cell>
          <cell r="I274" t="str">
            <v>Multi-race, Non-Hisp./Lat.</v>
          </cell>
          <cell r="J274" t="str">
            <v>02810023Multi-race, Non-Hisp./Lat.</v>
          </cell>
          <cell r="K274" t="str">
            <v>Level 3</v>
          </cell>
          <cell r="L274" t="str">
            <v>--</v>
          </cell>
          <cell r="M274" t="str">
            <v>--</v>
          </cell>
          <cell r="N274" t="str">
            <v>--</v>
          </cell>
          <cell r="O274" t="str">
            <v>--</v>
          </cell>
          <cell r="P274" t="str">
            <v>--</v>
          </cell>
          <cell r="Q274" t="str">
            <v>--</v>
          </cell>
          <cell r="R274" t="str">
            <v>--</v>
          </cell>
          <cell r="S274" t="str">
            <v>--</v>
          </cell>
          <cell r="T274" t="str">
            <v>--</v>
          </cell>
          <cell r="U274" t="str">
            <v>--</v>
          </cell>
          <cell r="V274" t="str">
            <v>--</v>
          </cell>
          <cell r="W274" t="str">
            <v>--</v>
          </cell>
          <cell r="X274" t="str">
            <v>--</v>
          </cell>
          <cell r="Y274" t="str">
            <v>--</v>
          </cell>
          <cell r="Z274" t="str">
            <v>--</v>
          </cell>
          <cell r="AA274" t="str">
            <v>--</v>
          </cell>
          <cell r="AB274" t="str">
            <v>--</v>
          </cell>
          <cell r="AC274" t="str">
            <v>--</v>
          </cell>
          <cell r="AD274" t="str">
            <v>--</v>
          </cell>
          <cell r="AE274" t="str">
            <v>--</v>
          </cell>
          <cell r="AF274" t="str">
            <v>--</v>
          </cell>
          <cell r="AG274" t="str">
            <v>--</v>
          </cell>
          <cell r="AH274" t="str">
            <v>--</v>
          </cell>
          <cell r="AI274" t="str">
            <v>--</v>
          </cell>
          <cell r="AJ274" t="str">
            <v>--</v>
          </cell>
          <cell r="AK274" t="str">
            <v>--</v>
          </cell>
          <cell r="AL274" t="str">
            <v>--</v>
          </cell>
          <cell r="AM274" t="str">
            <v>--</v>
          </cell>
          <cell r="AN274" t="str">
            <v>--</v>
          </cell>
          <cell r="AO274" t="str">
            <v>--</v>
          </cell>
          <cell r="AP274" t="str">
            <v>--</v>
          </cell>
          <cell r="AQ274" t="str">
            <v>--</v>
          </cell>
          <cell r="AR274" t="str">
            <v>--</v>
          </cell>
          <cell r="AS274" t="str">
            <v>--</v>
          </cell>
          <cell r="AT274" t="str">
            <v>--</v>
          </cell>
          <cell r="AU274" t="str">
            <v>--</v>
          </cell>
          <cell r="AV274" t="str">
            <v>--</v>
          </cell>
          <cell r="AW274" t="str">
            <v>--</v>
          </cell>
          <cell r="AX274" t="str">
            <v>--</v>
          </cell>
          <cell r="AY274" t="str">
            <v>--</v>
          </cell>
          <cell r="AZ274" t="str">
            <v>--</v>
          </cell>
          <cell r="BA274" t="str">
            <v>--</v>
          </cell>
          <cell r="BB274" t="str">
            <v>--</v>
          </cell>
          <cell r="BC274" t="str">
            <v>--</v>
          </cell>
          <cell r="BD274" t="str">
            <v>--</v>
          </cell>
          <cell r="BE274" t="str">
            <v>--</v>
          </cell>
          <cell r="BF274" t="str">
            <v>--</v>
          </cell>
          <cell r="BG274" t="str">
            <v>--</v>
          </cell>
          <cell r="BH274" t="str">
            <v>--</v>
          </cell>
          <cell r="BI274" t="str">
            <v>--</v>
          </cell>
          <cell r="BJ274" t="str">
            <v>--</v>
          </cell>
          <cell r="BK274" t="str">
            <v>--</v>
          </cell>
          <cell r="BL274" t="str">
            <v>--</v>
          </cell>
          <cell r="BM274" t="str">
            <v>--</v>
          </cell>
          <cell r="BN274" t="str">
            <v>--</v>
          </cell>
          <cell r="BO274" t="str">
            <v>--</v>
          </cell>
          <cell r="BP274" t="str">
            <v>--</v>
          </cell>
          <cell r="BQ274" t="str">
            <v>--</v>
          </cell>
          <cell r="BR274" t="str">
            <v>--</v>
          </cell>
          <cell r="BS274" t="str">
            <v>--</v>
          </cell>
          <cell r="BT274" t="str">
            <v>--</v>
          </cell>
          <cell r="BU274" t="str">
            <v>--</v>
          </cell>
          <cell r="BV274" t="str">
            <v>--</v>
          </cell>
          <cell r="BW274" t="str">
            <v>--</v>
          </cell>
          <cell r="BX274" t="str">
            <v>--</v>
          </cell>
          <cell r="BY274" t="str">
            <v>--</v>
          </cell>
          <cell r="BZ274" t="str">
            <v>--</v>
          </cell>
          <cell r="CA274" t="str">
            <v>--</v>
          </cell>
          <cell r="CB274" t="str">
            <v>--</v>
          </cell>
          <cell r="CC274" t="str">
            <v>--</v>
          </cell>
          <cell r="CD274" t="str">
            <v>--</v>
          </cell>
          <cell r="CE274" t="str">
            <v>--</v>
          </cell>
          <cell r="CF274" t="str">
            <v>--</v>
          </cell>
          <cell r="CG274" t="str">
            <v>--</v>
          </cell>
          <cell r="CH274" t="str">
            <v>--</v>
          </cell>
          <cell r="CI274" t="str">
            <v>--</v>
          </cell>
          <cell r="CJ274" t="str">
            <v>--</v>
          </cell>
          <cell r="CK274" t="str">
            <v>--</v>
          </cell>
          <cell r="CL274" t="str">
            <v>--</v>
          </cell>
          <cell r="CM274" t="str">
            <v>--</v>
          </cell>
          <cell r="CN274" t="str">
            <v>--</v>
          </cell>
          <cell r="CO274" t="str">
            <v>--</v>
          </cell>
          <cell r="CP274" t="str">
            <v>--</v>
          </cell>
          <cell r="CQ274" t="str">
            <v>--</v>
          </cell>
          <cell r="CR274" t="str">
            <v>--</v>
          </cell>
          <cell r="CS274" t="str">
            <v>--</v>
          </cell>
          <cell r="CT274" t="str">
            <v>--</v>
          </cell>
          <cell r="CU274" t="str">
            <v>--</v>
          </cell>
          <cell r="CV274" t="str">
            <v>--</v>
          </cell>
          <cell r="CW274" t="str">
            <v>--</v>
          </cell>
          <cell r="CX274" t="str">
            <v>--</v>
          </cell>
          <cell r="CY274" t="str">
            <v>--</v>
          </cell>
          <cell r="CZ274" t="str">
            <v>--</v>
          </cell>
          <cell r="DA274" t="str">
            <v>--</v>
          </cell>
          <cell r="DB274" t="str">
            <v>--</v>
          </cell>
          <cell r="DC274" t="str">
            <v>--</v>
          </cell>
          <cell r="DD274" t="str">
            <v>--</v>
          </cell>
          <cell r="DE274" t="str">
            <v>--</v>
          </cell>
          <cell r="DF274" t="str">
            <v>--</v>
          </cell>
          <cell r="DG274" t="str">
            <v>--</v>
          </cell>
          <cell r="DH274" t="str">
            <v>--</v>
          </cell>
          <cell r="DI274" t="str">
            <v>--</v>
          </cell>
          <cell r="DJ274" t="str">
            <v>--</v>
          </cell>
          <cell r="DK274" t="str">
            <v>--</v>
          </cell>
          <cell r="DL274" t="str">
            <v>--</v>
          </cell>
          <cell r="DM274" t="str">
            <v>--</v>
          </cell>
          <cell r="DN274" t="str">
            <v>--</v>
          </cell>
          <cell r="DO274" t="str">
            <v>--</v>
          </cell>
          <cell r="DP274" t="str">
            <v>--</v>
          </cell>
          <cell r="DQ274" t="str">
            <v>--</v>
          </cell>
          <cell r="DR274" t="str">
            <v>--</v>
          </cell>
          <cell r="DS274" t="str">
            <v>--</v>
          </cell>
          <cell r="DT274" t="str">
            <v>--</v>
          </cell>
          <cell r="DU274" t="str">
            <v>--</v>
          </cell>
          <cell r="DV274" t="str">
            <v>--</v>
          </cell>
          <cell r="DW274" t="str">
            <v>--</v>
          </cell>
          <cell r="DX274" t="str">
            <v>--</v>
          </cell>
          <cell r="DY274" t="str">
            <v>--</v>
          </cell>
          <cell r="DZ274" t="str">
            <v>--</v>
          </cell>
          <cell r="EA274" t="str">
            <v>--</v>
          </cell>
          <cell r="EB274" t="str">
            <v>--</v>
          </cell>
          <cell r="EC274" t="str">
            <v>--</v>
          </cell>
          <cell r="ED274" t="str">
            <v>--</v>
          </cell>
          <cell r="EE274" t="str">
            <v>--</v>
          </cell>
          <cell r="EF274" t="str">
            <v>--</v>
          </cell>
          <cell r="EG274" t="str">
            <v>--</v>
          </cell>
        </row>
        <row r="275">
          <cell r="A275" t="str">
            <v>02810023Amer. Ind. or Alaska Nat.</v>
          </cell>
          <cell r="B275" t="str">
            <v>02810023N</v>
          </cell>
          <cell r="C275" t="str">
            <v>0281</v>
          </cell>
          <cell r="D275" t="str">
            <v>02810023</v>
          </cell>
          <cell r="E275" t="str">
            <v>Springfield</v>
          </cell>
          <cell r="F275" t="str">
            <v>Milton Bradley School</v>
          </cell>
          <cell r="G275" t="str">
            <v>ES</v>
          </cell>
          <cell r="H275" t="str">
            <v>Springfield - Milton Bradley School (02810023)</v>
          </cell>
          <cell r="I275" t="str">
            <v>Amer. Ind. or Alaska Nat.</v>
          </cell>
          <cell r="J275" t="str">
            <v>02810023Amer. Ind. or Alaska Nat.</v>
          </cell>
          <cell r="K275" t="str">
            <v>--</v>
          </cell>
          <cell r="L275" t="str">
            <v>--</v>
          </cell>
          <cell r="M275" t="str">
            <v>--</v>
          </cell>
          <cell r="N275" t="str">
            <v>--</v>
          </cell>
          <cell r="O275" t="str">
            <v>--</v>
          </cell>
          <cell r="P275" t="str">
            <v>--</v>
          </cell>
          <cell r="Q275" t="str">
            <v>--</v>
          </cell>
          <cell r="R275" t="str">
            <v>--</v>
          </cell>
          <cell r="S275" t="str">
            <v>--</v>
          </cell>
          <cell r="T275" t="str">
            <v>--</v>
          </cell>
          <cell r="U275" t="str">
            <v>--</v>
          </cell>
          <cell r="V275" t="str">
            <v>--</v>
          </cell>
          <cell r="W275" t="str">
            <v>--</v>
          </cell>
          <cell r="X275" t="str">
            <v>--</v>
          </cell>
          <cell r="Y275" t="str">
            <v>--</v>
          </cell>
          <cell r="Z275" t="str">
            <v>--</v>
          </cell>
          <cell r="AA275" t="str">
            <v>--</v>
          </cell>
          <cell r="AB275" t="str">
            <v>--</v>
          </cell>
          <cell r="AC275" t="str">
            <v>--</v>
          </cell>
          <cell r="AD275" t="str">
            <v>--</v>
          </cell>
          <cell r="AE275" t="str">
            <v>--</v>
          </cell>
          <cell r="AF275" t="str">
            <v>--</v>
          </cell>
          <cell r="AG275" t="str">
            <v>--</v>
          </cell>
          <cell r="AH275" t="str">
            <v>--</v>
          </cell>
          <cell r="AI275" t="str">
            <v>--</v>
          </cell>
          <cell r="AJ275" t="str">
            <v>--</v>
          </cell>
          <cell r="AK275" t="str">
            <v>--</v>
          </cell>
          <cell r="AL275" t="str">
            <v>--</v>
          </cell>
          <cell r="AM275" t="str">
            <v>--</v>
          </cell>
          <cell r="AN275" t="str">
            <v>--</v>
          </cell>
          <cell r="AO275" t="str">
            <v>--</v>
          </cell>
          <cell r="AP275" t="str">
            <v>--</v>
          </cell>
          <cell r="AQ275" t="str">
            <v>--</v>
          </cell>
          <cell r="AR275" t="str">
            <v>--</v>
          </cell>
          <cell r="AS275" t="str">
            <v>--</v>
          </cell>
          <cell r="AT275" t="str">
            <v>--</v>
          </cell>
          <cell r="AU275" t="str">
            <v>--</v>
          </cell>
          <cell r="AV275" t="str">
            <v>--</v>
          </cell>
          <cell r="AW275" t="str">
            <v>--</v>
          </cell>
          <cell r="AX275" t="str">
            <v>--</v>
          </cell>
          <cell r="AY275" t="str">
            <v>--</v>
          </cell>
          <cell r="AZ275" t="str">
            <v>--</v>
          </cell>
          <cell r="BA275" t="str">
            <v>--</v>
          </cell>
          <cell r="BB275" t="str">
            <v>--</v>
          </cell>
          <cell r="BC275" t="str">
            <v>--</v>
          </cell>
          <cell r="BD275" t="str">
            <v>--</v>
          </cell>
          <cell r="BE275" t="str">
            <v>--</v>
          </cell>
          <cell r="BF275" t="str">
            <v>--</v>
          </cell>
          <cell r="BG275" t="str">
            <v>--</v>
          </cell>
          <cell r="BH275" t="str">
            <v>--</v>
          </cell>
          <cell r="BI275" t="str">
            <v>--</v>
          </cell>
          <cell r="BJ275" t="str">
            <v>--</v>
          </cell>
          <cell r="BK275" t="str">
            <v>--</v>
          </cell>
          <cell r="BL275" t="str">
            <v>--</v>
          </cell>
          <cell r="BM275" t="str">
            <v>--</v>
          </cell>
          <cell r="BN275" t="str">
            <v>--</v>
          </cell>
          <cell r="BO275" t="str">
            <v>--</v>
          </cell>
          <cell r="BP275" t="str">
            <v>--</v>
          </cell>
          <cell r="BQ275" t="str">
            <v>--</v>
          </cell>
          <cell r="BR275" t="str">
            <v>--</v>
          </cell>
          <cell r="BS275" t="str">
            <v>--</v>
          </cell>
          <cell r="BT275" t="str">
            <v>--</v>
          </cell>
          <cell r="BU275" t="str">
            <v>--</v>
          </cell>
          <cell r="BV275" t="str">
            <v>--</v>
          </cell>
          <cell r="BW275" t="str">
            <v>--</v>
          </cell>
          <cell r="BX275" t="str">
            <v>--</v>
          </cell>
          <cell r="BY275" t="str">
            <v>--</v>
          </cell>
          <cell r="BZ275" t="str">
            <v>--</v>
          </cell>
          <cell r="CA275" t="str">
            <v>--</v>
          </cell>
          <cell r="CB275" t="str">
            <v>--</v>
          </cell>
          <cell r="CC275" t="str">
            <v>--</v>
          </cell>
          <cell r="CD275" t="str">
            <v>--</v>
          </cell>
          <cell r="CE275" t="str">
            <v>--</v>
          </cell>
          <cell r="CF275" t="str">
            <v>--</v>
          </cell>
          <cell r="CG275" t="str">
            <v>--</v>
          </cell>
          <cell r="CH275" t="str">
            <v>--</v>
          </cell>
          <cell r="CI275" t="str">
            <v>--</v>
          </cell>
          <cell r="CJ275" t="str">
            <v>--</v>
          </cell>
          <cell r="CK275" t="str">
            <v>--</v>
          </cell>
          <cell r="CL275" t="str">
            <v>--</v>
          </cell>
          <cell r="CM275" t="str">
            <v>--</v>
          </cell>
          <cell r="CN275" t="str">
            <v>--</v>
          </cell>
          <cell r="CO275" t="str">
            <v>--</v>
          </cell>
          <cell r="CP275" t="str">
            <v>--</v>
          </cell>
          <cell r="CQ275" t="str">
            <v>--</v>
          </cell>
          <cell r="CR275" t="str">
            <v>--</v>
          </cell>
          <cell r="CS275" t="str">
            <v>--</v>
          </cell>
          <cell r="CT275" t="str">
            <v>--</v>
          </cell>
          <cell r="CU275" t="str">
            <v>--</v>
          </cell>
          <cell r="CV275" t="str">
            <v>--</v>
          </cell>
          <cell r="CW275" t="str">
            <v>--</v>
          </cell>
          <cell r="CX275" t="str">
            <v>--</v>
          </cell>
          <cell r="CY275" t="str">
            <v>--</v>
          </cell>
          <cell r="CZ275" t="str">
            <v>--</v>
          </cell>
          <cell r="DA275" t="str">
            <v>--</v>
          </cell>
          <cell r="DB275" t="str">
            <v>--</v>
          </cell>
          <cell r="DC275" t="str">
            <v>--</v>
          </cell>
          <cell r="DD275" t="str">
            <v>--</v>
          </cell>
          <cell r="DE275" t="str">
            <v>--</v>
          </cell>
          <cell r="DF275" t="str">
            <v>--</v>
          </cell>
          <cell r="DG275" t="str">
            <v>--</v>
          </cell>
          <cell r="DH275" t="str">
            <v>--</v>
          </cell>
          <cell r="DI275" t="str">
            <v>--</v>
          </cell>
          <cell r="DJ275" t="str">
            <v>--</v>
          </cell>
          <cell r="DK275" t="str">
            <v>--</v>
          </cell>
          <cell r="DL275" t="str">
            <v>--</v>
          </cell>
          <cell r="DM275" t="str">
            <v>--</v>
          </cell>
          <cell r="DN275" t="str">
            <v>--</v>
          </cell>
          <cell r="DO275" t="str">
            <v>--</v>
          </cell>
          <cell r="DP275" t="str">
            <v>--</v>
          </cell>
          <cell r="DQ275" t="str">
            <v>--</v>
          </cell>
          <cell r="DR275" t="str">
            <v>--</v>
          </cell>
          <cell r="DS275" t="str">
            <v>--</v>
          </cell>
          <cell r="DT275" t="str">
            <v>--</v>
          </cell>
          <cell r="DU275" t="str">
            <v>--</v>
          </cell>
          <cell r="DV275" t="str">
            <v>--</v>
          </cell>
          <cell r="DW275" t="str">
            <v>--</v>
          </cell>
          <cell r="DX275" t="str">
            <v>--</v>
          </cell>
          <cell r="DY275" t="str">
            <v>--</v>
          </cell>
          <cell r="DZ275" t="str">
            <v>--</v>
          </cell>
          <cell r="EA275" t="str">
            <v>--</v>
          </cell>
          <cell r="EB275" t="str">
            <v>--</v>
          </cell>
          <cell r="EC275" t="str">
            <v>--</v>
          </cell>
          <cell r="ED275" t="str">
            <v>--</v>
          </cell>
          <cell r="EE275" t="str">
            <v>--</v>
          </cell>
          <cell r="EF275" t="str">
            <v>--</v>
          </cell>
          <cell r="EG275" t="str">
            <v>--</v>
          </cell>
        </row>
        <row r="276">
          <cell r="A276" t="str">
            <v>02810023Nat. Haw. or Pacif. Isl.</v>
          </cell>
          <cell r="B276" t="str">
            <v>02810023P</v>
          </cell>
          <cell r="C276" t="str">
            <v>0281</v>
          </cell>
          <cell r="D276" t="str">
            <v>02810023</v>
          </cell>
          <cell r="E276" t="str">
            <v>Springfield</v>
          </cell>
          <cell r="F276" t="str">
            <v>Milton Bradley School</v>
          </cell>
          <cell r="G276" t="str">
            <v>ES</v>
          </cell>
          <cell r="H276" t="str">
            <v>Springfield - Milton Bradley School (02810023)</v>
          </cell>
          <cell r="I276" t="str">
            <v>Nat. Haw. or Pacif. Isl.</v>
          </cell>
          <cell r="J276" t="str">
            <v>02810023Nat. Haw. or Pacif. Isl.</v>
          </cell>
          <cell r="K276" t="str">
            <v>Level 3</v>
          </cell>
          <cell r="L276" t="str">
            <v>--</v>
          </cell>
          <cell r="M276" t="str">
            <v>--</v>
          </cell>
          <cell r="N276" t="str">
            <v>--</v>
          </cell>
          <cell r="O276" t="str">
            <v>--</v>
          </cell>
          <cell r="P276" t="str">
            <v>--</v>
          </cell>
          <cell r="Q276" t="str">
            <v>--</v>
          </cell>
          <cell r="R276" t="str">
            <v>--</v>
          </cell>
          <cell r="S276" t="str">
            <v>--</v>
          </cell>
          <cell r="T276" t="str">
            <v>--</v>
          </cell>
          <cell r="U276" t="str">
            <v>--</v>
          </cell>
          <cell r="V276" t="str">
            <v>--</v>
          </cell>
          <cell r="W276" t="str">
            <v>--</v>
          </cell>
          <cell r="X276" t="str">
            <v>--</v>
          </cell>
          <cell r="Y276" t="str">
            <v>--</v>
          </cell>
          <cell r="Z276" t="str">
            <v>--</v>
          </cell>
          <cell r="AA276" t="str">
            <v>--</v>
          </cell>
          <cell r="AB276" t="str">
            <v>--</v>
          </cell>
          <cell r="AC276" t="str">
            <v>--</v>
          </cell>
          <cell r="AD276" t="str">
            <v>--</v>
          </cell>
          <cell r="AE276" t="str">
            <v>--</v>
          </cell>
          <cell r="AF276" t="str">
            <v>--</v>
          </cell>
          <cell r="AG276" t="str">
            <v>--</v>
          </cell>
          <cell r="AH276" t="str">
            <v>--</v>
          </cell>
          <cell r="AI276" t="str">
            <v>--</v>
          </cell>
          <cell r="AJ276" t="str">
            <v>--</v>
          </cell>
          <cell r="AK276" t="str">
            <v>--</v>
          </cell>
          <cell r="AL276" t="str">
            <v>--</v>
          </cell>
          <cell r="AM276" t="str">
            <v>--</v>
          </cell>
          <cell r="AN276" t="str">
            <v>--</v>
          </cell>
          <cell r="AO276" t="str">
            <v>--</v>
          </cell>
          <cell r="AP276" t="str">
            <v>--</v>
          </cell>
          <cell r="AQ276" t="str">
            <v>--</v>
          </cell>
          <cell r="AR276" t="str">
            <v>--</v>
          </cell>
          <cell r="AS276" t="str">
            <v>--</v>
          </cell>
          <cell r="AT276" t="str">
            <v>--</v>
          </cell>
          <cell r="AU276" t="str">
            <v>--</v>
          </cell>
          <cell r="AV276" t="str">
            <v>--</v>
          </cell>
          <cell r="AW276" t="str">
            <v>--</v>
          </cell>
          <cell r="AX276" t="str">
            <v>--</v>
          </cell>
          <cell r="AY276" t="str">
            <v>--</v>
          </cell>
          <cell r="AZ276" t="str">
            <v>--</v>
          </cell>
          <cell r="BA276" t="str">
            <v>--</v>
          </cell>
          <cell r="BB276" t="str">
            <v>--</v>
          </cell>
          <cell r="BC276" t="str">
            <v>--</v>
          </cell>
          <cell r="BD276" t="str">
            <v>--</v>
          </cell>
          <cell r="BE276" t="str">
            <v>--</v>
          </cell>
          <cell r="BF276" t="str">
            <v>--</v>
          </cell>
          <cell r="BG276" t="str">
            <v>--</v>
          </cell>
          <cell r="BH276" t="str">
            <v>--</v>
          </cell>
          <cell r="BI276" t="str">
            <v>--</v>
          </cell>
          <cell r="BJ276" t="str">
            <v>--</v>
          </cell>
          <cell r="BK276" t="str">
            <v>--</v>
          </cell>
          <cell r="BL276" t="str">
            <v>--</v>
          </cell>
          <cell r="BM276" t="str">
            <v>--</v>
          </cell>
          <cell r="BN276" t="str">
            <v>--</v>
          </cell>
          <cell r="BO276" t="str">
            <v>--</v>
          </cell>
          <cell r="BP276" t="str">
            <v>--</v>
          </cell>
          <cell r="BQ276" t="str">
            <v>--</v>
          </cell>
          <cell r="BR276" t="str">
            <v>--</v>
          </cell>
          <cell r="BS276" t="str">
            <v>--</v>
          </cell>
          <cell r="BT276" t="str">
            <v>--</v>
          </cell>
          <cell r="BU276" t="str">
            <v>--</v>
          </cell>
          <cell r="BV276" t="str">
            <v>--</v>
          </cell>
          <cell r="BW276" t="str">
            <v>--</v>
          </cell>
          <cell r="BX276" t="str">
            <v>--</v>
          </cell>
          <cell r="BY276" t="str">
            <v>--</v>
          </cell>
          <cell r="BZ276" t="str">
            <v>--</v>
          </cell>
          <cell r="CA276" t="str">
            <v>--</v>
          </cell>
          <cell r="CB276" t="str">
            <v>--</v>
          </cell>
          <cell r="CC276" t="str">
            <v>--</v>
          </cell>
          <cell r="CD276" t="str">
            <v>--</v>
          </cell>
          <cell r="CE276" t="str">
            <v>--</v>
          </cell>
          <cell r="CF276" t="str">
            <v>--</v>
          </cell>
          <cell r="CG276" t="str">
            <v>--</v>
          </cell>
          <cell r="CH276" t="str">
            <v>--</v>
          </cell>
          <cell r="CI276" t="str">
            <v>--</v>
          </cell>
          <cell r="CJ276" t="str">
            <v>--</v>
          </cell>
          <cell r="CK276" t="str">
            <v>--</v>
          </cell>
          <cell r="CL276" t="str">
            <v>--</v>
          </cell>
          <cell r="CM276" t="str">
            <v>--</v>
          </cell>
          <cell r="CN276" t="str">
            <v>--</v>
          </cell>
          <cell r="CO276" t="str">
            <v>--</v>
          </cell>
          <cell r="CP276" t="str">
            <v>--</v>
          </cell>
          <cell r="CQ276" t="str">
            <v>--</v>
          </cell>
          <cell r="CR276" t="str">
            <v>--</v>
          </cell>
          <cell r="CS276" t="str">
            <v>--</v>
          </cell>
          <cell r="CT276" t="str">
            <v>--</v>
          </cell>
          <cell r="CU276" t="str">
            <v>--</v>
          </cell>
          <cell r="CV276" t="str">
            <v>--</v>
          </cell>
          <cell r="CW276" t="str">
            <v>--</v>
          </cell>
          <cell r="CX276" t="str">
            <v>--</v>
          </cell>
          <cell r="CY276" t="str">
            <v>--</v>
          </cell>
          <cell r="CZ276" t="str">
            <v>--</v>
          </cell>
          <cell r="DA276" t="str">
            <v>--</v>
          </cell>
          <cell r="DB276" t="str">
            <v>--</v>
          </cell>
          <cell r="DC276" t="str">
            <v>--</v>
          </cell>
          <cell r="DD276" t="str">
            <v>--</v>
          </cell>
          <cell r="DE276" t="str">
            <v>--</v>
          </cell>
          <cell r="DF276" t="str">
            <v>--</v>
          </cell>
          <cell r="DG276" t="str">
            <v>--</v>
          </cell>
          <cell r="DH276" t="str">
            <v>--</v>
          </cell>
          <cell r="DI276" t="str">
            <v>--</v>
          </cell>
          <cell r="DJ276" t="str">
            <v>--</v>
          </cell>
          <cell r="DK276" t="str">
            <v>--</v>
          </cell>
          <cell r="DL276" t="str">
            <v>--</v>
          </cell>
          <cell r="DM276" t="str">
            <v>--</v>
          </cell>
          <cell r="DN276" t="str">
            <v>--</v>
          </cell>
          <cell r="DO276" t="str">
            <v>--</v>
          </cell>
          <cell r="DP276" t="str">
            <v>--</v>
          </cell>
          <cell r="DQ276" t="str">
            <v>--</v>
          </cell>
          <cell r="DR276" t="str">
            <v>--</v>
          </cell>
          <cell r="DS276" t="str">
            <v>--</v>
          </cell>
          <cell r="DT276" t="str">
            <v>--</v>
          </cell>
          <cell r="DU276" t="str">
            <v>--</v>
          </cell>
          <cell r="DV276" t="str">
            <v>--</v>
          </cell>
          <cell r="DW276" t="str">
            <v>--</v>
          </cell>
          <cell r="DX276" t="str">
            <v>--</v>
          </cell>
          <cell r="DY276" t="str">
            <v>--</v>
          </cell>
          <cell r="DZ276" t="str">
            <v>--</v>
          </cell>
          <cell r="EA276" t="str">
            <v>--</v>
          </cell>
          <cell r="EB276" t="str">
            <v>--</v>
          </cell>
          <cell r="EC276" t="str">
            <v>--</v>
          </cell>
          <cell r="ED276" t="str">
            <v>--</v>
          </cell>
          <cell r="EE276" t="str">
            <v>--</v>
          </cell>
          <cell r="EF276" t="str">
            <v>--</v>
          </cell>
          <cell r="EG276" t="str">
            <v>--</v>
          </cell>
        </row>
        <row r="277">
          <cell r="A277" t="str">
            <v>02810023High needs</v>
          </cell>
          <cell r="B277" t="str">
            <v>02810023S</v>
          </cell>
          <cell r="C277" t="str">
            <v>0281</v>
          </cell>
          <cell r="D277" t="str">
            <v>02810023</v>
          </cell>
          <cell r="E277" t="str">
            <v>Springfield</v>
          </cell>
          <cell r="F277" t="str">
            <v>Milton Bradley School</v>
          </cell>
          <cell r="G277" t="str">
            <v>ES</v>
          </cell>
          <cell r="H277" t="str">
            <v>Springfield - Milton Bradley School (02810023)</v>
          </cell>
          <cell r="I277" t="str">
            <v>High needs</v>
          </cell>
          <cell r="J277" t="str">
            <v>02810023High needs</v>
          </cell>
          <cell r="K277" t="str">
            <v>Level 3</v>
          </cell>
          <cell r="L277">
            <v>64.900000000000006</v>
          </cell>
          <cell r="M277">
            <v>67.8</v>
          </cell>
          <cell r="N277">
            <v>61</v>
          </cell>
          <cell r="O277">
            <v>70.8</v>
          </cell>
          <cell r="P277">
            <v>58.5</v>
          </cell>
          <cell r="Q277">
            <v>73.7</v>
          </cell>
          <cell r="R277">
            <v>76.599999999999994</v>
          </cell>
          <cell r="S277">
            <v>79.5</v>
          </cell>
          <cell r="T277">
            <v>82.5</v>
          </cell>
          <cell r="U277">
            <v>57.9</v>
          </cell>
          <cell r="V277">
            <v>61.4</v>
          </cell>
          <cell r="W277">
            <v>47.6</v>
          </cell>
          <cell r="X277">
            <v>64.900000000000006</v>
          </cell>
          <cell r="Y277">
            <v>51.3</v>
          </cell>
          <cell r="Z277">
            <v>68.400000000000006</v>
          </cell>
          <cell r="AA277">
            <v>71.900000000000006</v>
          </cell>
          <cell r="AB277">
            <v>75.400000000000006</v>
          </cell>
          <cell r="AC277">
            <v>79</v>
          </cell>
          <cell r="AD277">
            <v>55.3</v>
          </cell>
          <cell r="AE277">
            <v>59</v>
          </cell>
          <cell r="AF277">
            <v>45.3</v>
          </cell>
          <cell r="AG277">
            <v>62.8</v>
          </cell>
          <cell r="AH277">
            <v>52.1</v>
          </cell>
          <cell r="AI277">
            <v>66.5</v>
          </cell>
          <cell r="AJ277">
            <v>70.2</v>
          </cell>
          <cell r="AK277">
            <v>73.900000000000006</v>
          </cell>
          <cell r="AL277">
            <v>77.7</v>
          </cell>
          <cell r="AM277" t="str">
            <v>--</v>
          </cell>
          <cell r="AN277" t="str">
            <v>--</v>
          </cell>
          <cell r="AO277" t="str">
            <v>--</v>
          </cell>
          <cell r="AP277" t="str">
            <v>--</v>
          </cell>
          <cell r="AQ277" t="str">
            <v>--</v>
          </cell>
          <cell r="AR277" t="str">
            <v>--</v>
          </cell>
          <cell r="AS277" t="str">
            <v>--</v>
          </cell>
          <cell r="AT277" t="str">
            <v>--</v>
          </cell>
          <cell r="AU277" t="str">
            <v>--</v>
          </cell>
          <cell r="AV277" t="str">
            <v>--</v>
          </cell>
          <cell r="AW277" t="str">
            <v>--</v>
          </cell>
          <cell r="AX277" t="str">
            <v>--</v>
          </cell>
          <cell r="AY277" t="str">
            <v>--</v>
          </cell>
          <cell r="AZ277" t="str">
            <v>--</v>
          </cell>
          <cell r="BA277" t="str">
            <v>--</v>
          </cell>
          <cell r="BB277" t="str">
            <v>--</v>
          </cell>
          <cell r="BC277" t="str">
            <v>--</v>
          </cell>
          <cell r="BD277" t="str">
            <v>--</v>
          </cell>
          <cell r="BE277" t="str">
            <v>--</v>
          </cell>
          <cell r="BF277" t="str">
            <v>--</v>
          </cell>
          <cell r="BG277" t="str">
            <v>--</v>
          </cell>
          <cell r="BH277" t="str">
            <v>--</v>
          </cell>
          <cell r="BI277" t="str">
            <v>--</v>
          </cell>
          <cell r="BJ277" t="str">
            <v>--</v>
          </cell>
          <cell r="BK277" t="str">
            <v>--</v>
          </cell>
          <cell r="BL277" t="str">
            <v>--</v>
          </cell>
          <cell r="BM277" t="str">
            <v>--</v>
          </cell>
          <cell r="BN277">
            <v>51.5</v>
          </cell>
          <cell r="BO277">
            <v>51</v>
          </cell>
          <cell r="BP277">
            <v>40</v>
          </cell>
          <cell r="BQ277">
            <v>50</v>
          </cell>
          <cell r="BR277">
            <v>37.5</v>
          </cell>
          <cell r="BS277">
            <v>47.5</v>
          </cell>
          <cell r="BT277">
            <v>51</v>
          </cell>
          <cell r="BU277">
            <v>51</v>
          </cell>
          <cell r="BV277">
            <v>51</v>
          </cell>
          <cell r="BW277">
            <v>27</v>
          </cell>
          <cell r="BX277">
            <v>37</v>
          </cell>
          <cell r="BY277">
            <v>32.5</v>
          </cell>
          <cell r="BZ277">
            <v>42.5</v>
          </cell>
          <cell r="CA277">
            <v>44</v>
          </cell>
          <cell r="CB277">
            <v>51</v>
          </cell>
          <cell r="CC277">
            <v>51</v>
          </cell>
          <cell r="CD277">
            <v>51</v>
          </cell>
          <cell r="CE277">
            <v>51</v>
          </cell>
          <cell r="CF277">
            <v>22.2</v>
          </cell>
          <cell r="CG277">
            <v>20</v>
          </cell>
          <cell r="CH277">
            <v>26.5</v>
          </cell>
          <cell r="CI277">
            <v>23.9</v>
          </cell>
          <cell r="CJ277">
            <v>31.6</v>
          </cell>
          <cell r="CK277">
            <v>28.4</v>
          </cell>
          <cell r="CL277">
            <v>25.6</v>
          </cell>
          <cell r="CM277">
            <v>23</v>
          </cell>
          <cell r="CN277">
            <v>20.7</v>
          </cell>
          <cell r="CO277">
            <v>27.1</v>
          </cell>
          <cell r="CP277">
            <v>24.4</v>
          </cell>
          <cell r="CQ277">
            <v>44.1</v>
          </cell>
          <cell r="CR277">
            <v>39.700000000000003</v>
          </cell>
          <cell r="CS277">
            <v>42.2</v>
          </cell>
          <cell r="CT277">
            <v>38</v>
          </cell>
          <cell r="CU277">
            <v>34.200000000000003</v>
          </cell>
          <cell r="CV277">
            <v>30.8</v>
          </cell>
          <cell r="CW277">
            <v>27.7</v>
          </cell>
          <cell r="CX277">
            <v>28.1</v>
          </cell>
          <cell r="CY277">
            <v>25.3</v>
          </cell>
          <cell r="CZ277">
            <v>43.1</v>
          </cell>
          <cell r="DA277">
            <v>38.799999999999997</v>
          </cell>
          <cell r="DB277">
            <v>41.7</v>
          </cell>
          <cell r="DC277">
            <v>37.5</v>
          </cell>
          <cell r="DD277">
            <v>33.799999999999997</v>
          </cell>
          <cell r="DE277">
            <v>30.4</v>
          </cell>
          <cell r="DF277">
            <v>27.4</v>
          </cell>
          <cell r="DG277">
            <v>1.2</v>
          </cell>
          <cell r="DH277">
            <v>1.3</v>
          </cell>
          <cell r="DI277">
            <v>1.8</v>
          </cell>
          <cell r="DJ277">
            <v>2</v>
          </cell>
          <cell r="DK277">
            <v>0.5</v>
          </cell>
          <cell r="DL277">
            <v>0.6</v>
          </cell>
          <cell r="DM277">
            <v>0.6</v>
          </cell>
          <cell r="DN277">
            <v>0.7</v>
          </cell>
          <cell r="DO277">
            <v>0.7</v>
          </cell>
          <cell r="DP277">
            <v>1.8</v>
          </cell>
          <cell r="DQ277">
            <v>2</v>
          </cell>
          <cell r="DR277">
            <v>1.8</v>
          </cell>
          <cell r="DS277">
            <v>2</v>
          </cell>
          <cell r="DT277">
            <v>4.2</v>
          </cell>
          <cell r="DU277">
            <v>4.5999999999999996</v>
          </cell>
          <cell r="DV277">
            <v>5.0999999999999996</v>
          </cell>
          <cell r="DW277">
            <v>5.6</v>
          </cell>
          <cell r="DX277">
            <v>6.1</v>
          </cell>
          <cell r="DY277">
            <v>0</v>
          </cell>
          <cell r="DZ277">
            <v>1</v>
          </cell>
          <cell r="EA277">
            <v>0</v>
          </cell>
          <cell r="EB277">
            <v>1</v>
          </cell>
          <cell r="EC277">
            <v>3.3</v>
          </cell>
          <cell r="ED277">
            <v>3.6</v>
          </cell>
          <cell r="EE277">
            <v>4</v>
          </cell>
          <cell r="EF277">
            <v>4.4000000000000004</v>
          </cell>
          <cell r="EG277">
            <v>4.8</v>
          </cell>
        </row>
        <row r="278">
          <cell r="A278" t="str">
            <v>02810023All students</v>
          </cell>
          <cell r="B278" t="str">
            <v>02810023T</v>
          </cell>
          <cell r="C278" t="str">
            <v>0281</v>
          </cell>
          <cell r="D278" t="str">
            <v>02810023</v>
          </cell>
          <cell r="E278" t="str">
            <v>Springfield</v>
          </cell>
          <cell r="F278" t="str">
            <v>Milton Bradley School</v>
          </cell>
          <cell r="G278" t="str">
            <v>ES</v>
          </cell>
          <cell r="H278" t="str">
            <v>Springfield - Milton Bradley School (02810023)</v>
          </cell>
          <cell r="I278" t="str">
            <v>All students</v>
          </cell>
          <cell r="J278" t="str">
            <v>02810023All students</v>
          </cell>
          <cell r="K278" t="str">
            <v>Level 3</v>
          </cell>
          <cell r="L278">
            <v>65.400000000000006</v>
          </cell>
          <cell r="M278">
            <v>68.3</v>
          </cell>
          <cell r="N278">
            <v>61.4</v>
          </cell>
          <cell r="O278">
            <v>71.2</v>
          </cell>
          <cell r="P278">
            <v>58.8</v>
          </cell>
          <cell r="Q278">
            <v>74.099999999999994</v>
          </cell>
          <cell r="R278">
            <v>76.900000000000006</v>
          </cell>
          <cell r="S278">
            <v>79.8</v>
          </cell>
          <cell r="T278">
            <v>82.7</v>
          </cell>
          <cell r="U278">
            <v>58</v>
          </cell>
          <cell r="V278">
            <v>61.5</v>
          </cell>
          <cell r="W278">
            <v>48</v>
          </cell>
          <cell r="X278">
            <v>65</v>
          </cell>
          <cell r="Y278">
            <v>51.6</v>
          </cell>
          <cell r="Z278">
            <v>68.5</v>
          </cell>
          <cell r="AA278">
            <v>72</v>
          </cell>
          <cell r="AB278">
            <v>75.5</v>
          </cell>
          <cell r="AC278">
            <v>79</v>
          </cell>
          <cell r="AD278">
            <v>55.9</v>
          </cell>
          <cell r="AE278">
            <v>59.6</v>
          </cell>
          <cell r="AF278">
            <v>44.9</v>
          </cell>
          <cell r="AG278">
            <v>63.3</v>
          </cell>
          <cell r="AH278">
            <v>52.1</v>
          </cell>
          <cell r="AI278">
            <v>66.900000000000006</v>
          </cell>
          <cell r="AJ278">
            <v>70.599999999999994</v>
          </cell>
          <cell r="AK278">
            <v>74.3</v>
          </cell>
          <cell r="AL278">
            <v>78</v>
          </cell>
          <cell r="AM278" t="str">
            <v>--</v>
          </cell>
          <cell r="AN278" t="str">
            <v>--</v>
          </cell>
          <cell r="AO278" t="str">
            <v>--</v>
          </cell>
          <cell r="AP278" t="str">
            <v>--</v>
          </cell>
          <cell r="AQ278" t="str">
            <v>--</v>
          </cell>
          <cell r="AR278" t="str">
            <v>--</v>
          </cell>
          <cell r="AS278" t="str">
            <v>--</v>
          </cell>
          <cell r="AT278" t="str">
            <v>--</v>
          </cell>
          <cell r="AU278" t="str">
            <v>--</v>
          </cell>
          <cell r="AV278" t="str">
            <v>--</v>
          </cell>
          <cell r="AW278" t="str">
            <v>--</v>
          </cell>
          <cell r="AX278" t="str">
            <v>--</v>
          </cell>
          <cell r="AY278" t="str">
            <v>--</v>
          </cell>
          <cell r="AZ278" t="str">
            <v>--</v>
          </cell>
          <cell r="BA278" t="str">
            <v>--</v>
          </cell>
          <cell r="BB278" t="str">
            <v>--</v>
          </cell>
          <cell r="BC278" t="str">
            <v>--</v>
          </cell>
          <cell r="BD278" t="str">
            <v>--</v>
          </cell>
          <cell r="BE278" t="str">
            <v>--</v>
          </cell>
          <cell r="BF278" t="str">
            <v>--</v>
          </cell>
          <cell r="BG278" t="str">
            <v>--</v>
          </cell>
          <cell r="BH278" t="str">
            <v>--</v>
          </cell>
          <cell r="BI278" t="str">
            <v>--</v>
          </cell>
          <cell r="BJ278" t="str">
            <v>--</v>
          </cell>
          <cell r="BK278" t="str">
            <v>--</v>
          </cell>
          <cell r="BL278" t="str">
            <v>--</v>
          </cell>
          <cell r="BM278" t="str">
            <v>--</v>
          </cell>
          <cell r="BN278">
            <v>51.5</v>
          </cell>
          <cell r="BO278">
            <v>51</v>
          </cell>
          <cell r="BP278">
            <v>40</v>
          </cell>
          <cell r="BQ278">
            <v>50</v>
          </cell>
          <cell r="BR278">
            <v>37</v>
          </cell>
          <cell r="BS278">
            <v>47</v>
          </cell>
          <cell r="BT278">
            <v>51</v>
          </cell>
          <cell r="BU278">
            <v>51</v>
          </cell>
          <cell r="BV278">
            <v>51</v>
          </cell>
          <cell r="BW278">
            <v>26</v>
          </cell>
          <cell r="BX278">
            <v>36</v>
          </cell>
          <cell r="BY278">
            <v>32.5</v>
          </cell>
          <cell r="BZ278">
            <v>42.5</v>
          </cell>
          <cell r="CA278">
            <v>45</v>
          </cell>
          <cell r="CB278">
            <v>51</v>
          </cell>
          <cell r="CC278">
            <v>51</v>
          </cell>
          <cell r="CD278">
            <v>51</v>
          </cell>
          <cell r="CE278">
            <v>51</v>
          </cell>
          <cell r="CF278">
            <v>21.5</v>
          </cell>
          <cell r="CG278">
            <v>19.399999999999999</v>
          </cell>
          <cell r="CH278">
            <v>26</v>
          </cell>
          <cell r="CI278">
            <v>23.4</v>
          </cell>
          <cell r="CJ278">
            <v>31.4</v>
          </cell>
          <cell r="CK278">
            <v>28.3</v>
          </cell>
          <cell r="CL278">
            <v>25.4</v>
          </cell>
          <cell r="CM278">
            <v>22.9</v>
          </cell>
          <cell r="CN278">
            <v>20.6</v>
          </cell>
          <cell r="CO278">
            <v>27.3</v>
          </cell>
          <cell r="CP278">
            <v>24.6</v>
          </cell>
          <cell r="CQ278">
            <v>43.4</v>
          </cell>
          <cell r="CR278">
            <v>39.1</v>
          </cell>
          <cell r="CS278">
            <v>42</v>
          </cell>
          <cell r="CT278">
            <v>37.799999999999997</v>
          </cell>
          <cell r="CU278">
            <v>34</v>
          </cell>
          <cell r="CV278">
            <v>30.6</v>
          </cell>
          <cell r="CW278">
            <v>27.6</v>
          </cell>
          <cell r="CX278">
            <v>27.1</v>
          </cell>
          <cell r="CY278">
            <v>24.4</v>
          </cell>
          <cell r="CZ278">
            <v>44.1</v>
          </cell>
          <cell r="DA278">
            <v>39.700000000000003</v>
          </cell>
          <cell r="DB278">
            <v>41.7</v>
          </cell>
          <cell r="DC278">
            <v>37.5</v>
          </cell>
          <cell r="DD278">
            <v>33.799999999999997</v>
          </cell>
          <cell r="DE278">
            <v>30.4</v>
          </cell>
          <cell r="DF278">
            <v>27.4</v>
          </cell>
          <cell r="DG278">
            <v>1.1000000000000001</v>
          </cell>
          <cell r="DH278">
            <v>1.2</v>
          </cell>
          <cell r="DI278">
            <v>2.2999999999999998</v>
          </cell>
          <cell r="DJ278">
            <v>2.5</v>
          </cell>
          <cell r="DK278">
            <v>0.5</v>
          </cell>
          <cell r="DL278">
            <v>0.6</v>
          </cell>
          <cell r="DM278">
            <v>0.6</v>
          </cell>
          <cell r="DN278">
            <v>0.7</v>
          </cell>
          <cell r="DO278">
            <v>0.7</v>
          </cell>
          <cell r="DP278">
            <v>1.7</v>
          </cell>
          <cell r="DQ278">
            <v>1.9</v>
          </cell>
          <cell r="DR278">
            <v>2.2999999999999998</v>
          </cell>
          <cell r="DS278">
            <v>2.5</v>
          </cell>
          <cell r="DT278">
            <v>4.7</v>
          </cell>
          <cell r="DU278">
            <v>5.2</v>
          </cell>
          <cell r="DV278">
            <v>5.7</v>
          </cell>
          <cell r="DW278">
            <v>6.3</v>
          </cell>
          <cell r="DX278">
            <v>6.9</v>
          </cell>
          <cell r="DY278">
            <v>0</v>
          </cell>
          <cell r="DZ278">
            <v>1</v>
          </cell>
          <cell r="EA278">
            <v>0</v>
          </cell>
          <cell r="EB278">
            <v>1</v>
          </cell>
          <cell r="EC278">
            <v>3.3</v>
          </cell>
          <cell r="ED278">
            <v>3.6</v>
          </cell>
          <cell r="EE278">
            <v>4</v>
          </cell>
          <cell r="EF278">
            <v>4.4000000000000004</v>
          </cell>
          <cell r="EG278">
            <v>4.8</v>
          </cell>
        </row>
        <row r="279">
          <cell r="A279" t="str">
            <v>02810025Asian</v>
          </cell>
          <cell r="B279" t="str">
            <v>02810025A</v>
          </cell>
          <cell r="C279" t="str">
            <v>0281</v>
          </cell>
          <cell r="D279" t="str">
            <v>02810025</v>
          </cell>
          <cell r="E279" t="str">
            <v>Springfield</v>
          </cell>
          <cell r="F279" t="str">
            <v>Brightwood</v>
          </cell>
          <cell r="G279" t="str">
            <v>ES</v>
          </cell>
          <cell r="H279" t="str">
            <v>Springfield - Brightwood (02810025)</v>
          </cell>
          <cell r="I279" t="str">
            <v>Asian</v>
          </cell>
          <cell r="J279" t="str">
            <v>02810025Asian</v>
          </cell>
          <cell r="K279" t="str">
            <v>--</v>
          </cell>
          <cell r="L279" t="str">
            <v>--</v>
          </cell>
          <cell r="M279" t="str">
            <v>--</v>
          </cell>
          <cell r="N279" t="str">
            <v>--</v>
          </cell>
          <cell r="O279" t="str">
            <v>--</v>
          </cell>
          <cell r="P279" t="str">
            <v>--</v>
          </cell>
          <cell r="Q279" t="str">
            <v>--</v>
          </cell>
          <cell r="R279" t="str">
            <v>--</v>
          </cell>
          <cell r="S279" t="str">
            <v>--</v>
          </cell>
          <cell r="T279" t="str">
            <v>--</v>
          </cell>
          <cell r="U279" t="str">
            <v>--</v>
          </cell>
          <cell r="V279" t="str">
            <v>--</v>
          </cell>
          <cell r="W279" t="str">
            <v>--</v>
          </cell>
          <cell r="X279" t="str">
            <v>--</v>
          </cell>
          <cell r="Y279" t="str">
            <v>--</v>
          </cell>
          <cell r="Z279" t="str">
            <v>--</v>
          </cell>
          <cell r="AA279" t="str">
            <v>--</v>
          </cell>
          <cell r="AB279" t="str">
            <v>--</v>
          </cell>
          <cell r="AC279" t="str">
            <v>--</v>
          </cell>
          <cell r="AD279" t="str">
            <v>--</v>
          </cell>
          <cell r="AE279" t="str">
            <v>--</v>
          </cell>
          <cell r="AF279" t="str">
            <v>--</v>
          </cell>
          <cell r="AG279" t="str">
            <v>--</v>
          </cell>
          <cell r="AH279" t="str">
            <v>--</v>
          </cell>
          <cell r="AI279" t="str">
            <v>--</v>
          </cell>
          <cell r="AJ279" t="str">
            <v>--</v>
          </cell>
          <cell r="AK279" t="str">
            <v>--</v>
          </cell>
          <cell r="AL279" t="str">
            <v>--</v>
          </cell>
          <cell r="AM279" t="str">
            <v>--</v>
          </cell>
          <cell r="AN279" t="str">
            <v>--</v>
          </cell>
          <cell r="AO279" t="str">
            <v>--</v>
          </cell>
          <cell r="AP279" t="str">
            <v>--</v>
          </cell>
          <cell r="AQ279" t="str">
            <v>--</v>
          </cell>
          <cell r="AR279" t="str">
            <v>--</v>
          </cell>
          <cell r="AS279" t="str">
            <v>--</v>
          </cell>
          <cell r="AT279" t="str">
            <v>--</v>
          </cell>
          <cell r="AU279" t="str">
            <v>--</v>
          </cell>
          <cell r="AV279" t="str">
            <v>--</v>
          </cell>
          <cell r="AW279" t="str">
            <v>--</v>
          </cell>
          <cell r="AX279" t="str">
            <v>--</v>
          </cell>
          <cell r="AY279" t="str">
            <v>--</v>
          </cell>
          <cell r="AZ279" t="str">
            <v>--</v>
          </cell>
          <cell r="BA279" t="str">
            <v>--</v>
          </cell>
          <cell r="BB279" t="str">
            <v>--</v>
          </cell>
          <cell r="BC279" t="str">
            <v>--</v>
          </cell>
          <cell r="BD279" t="str">
            <v>--</v>
          </cell>
          <cell r="BE279" t="str">
            <v>--</v>
          </cell>
          <cell r="BF279" t="str">
            <v>--</v>
          </cell>
          <cell r="BG279" t="str">
            <v>--</v>
          </cell>
          <cell r="BH279" t="str">
            <v>--</v>
          </cell>
          <cell r="BI279" t="str">
            <v>--</v>
          </cell>
          <cell r="BJ279" t="str">
            <v>--</v>
          </cell>
          <cell r="BK279" t="str">
            <v>--</v>
          </cell>
          <cell r="BL279" t="str">
            <v>--</v>
          </cell>
          <cell r="BM279" t="str">
            <v>--</v>
          </cell>
          <cell r="BN279" t="str">
            <v>--</v>
          </cell>
          <cell r="BO279" t="str">
            <v>--</v>
          </cell>
          <cell r="BP279" t="str">
            <v>--</v>
          </cell>
          <cell r="BQ279" t="str">
            <v>--</v>
          </cell>
          <cell r="BR279" t="str">
            <v>--</v>
          </cell>
          <cell r="BS279" t="str">
            <v>--</v>
          </cell>
          <cell r="BT279" t="str">
            <v>--</v>
          </cell>
          <cell r="BU279" t="str">
            <v>--</v>
          </cell>
          <cell r="BV279" t="str">
            <v>--</v>
          </cell>
          <cell r="BW279" t="str">
            <v>--</v>
          </cell>
          <cell r="BX279" t="str">
            <v>--</v>
          </cell>
          <cell r="BY279" t="str">
            <v>--</v>
          </cell>
          <cell r="BZ279" t="str">
            <v>--</v>
          </cell>
          <cell r="CA279" t="str">
            <v>--</v>
          </cell>
          <cell r="CB279" t="str">
            <v>--</v>
          </cell>
          <cell r="CC279" t="str">
            <v>--</v>
          </cell>
          <cell r="CD279" t="str">
            <v>--</v>
          </cell>
          <cell r="CE279" t="str">
            <v>--</v>
          </cell>
          <cell r="CF279" t="str">
            <v>--</v>
          </cell>
          <cell r="CG279" t="str">
            <v>--</v>
          </cell>
          <cell r="CH279" t="str">
            <v>--</v>
          </cell>
          <cell r="CI279" t="str">
            <v>--</v>
          </cell>
          <cell r="CJ279" t="str">
            <v>--</v>
          </cell>
          <cell r="CK279" t="str">
            <v>--</v>
          </cell>
          <cell r="CL279" t="str">
            <v>--</v>
          </cell>
          <cell r="CM279" t="str">
            <v>--</v>
          </cell>
          <cell r="CN279" t="str">
            <v>--</v>
          </cell>
          <cell r="CO279" t="str">
            <v>--</v>
          </cell>
          <cell r="CP279" t="str">
            <v>--</v>
          </cell>
          <cell r="CQ279" t="str">
            <v>--</v>
          </cell>
          <cell r="CR279" t="str">
            <v>--</v>
          </cell>
          <cell r="CS279" t="str">
            <v>--</v>
          </cell>
          <cell r="CT279" t="str">
            <v>--</v>
          </cell>
          <cell r="CU279" t="str">
            <v>--</v>
          </cell>
          <cell r="CV279" t="str">
            <v>--</v>
          </cell>
          <cell r="CW279" t="str">
            <v>--</v>
          </cell>
          <cell r="CX279" t="str">
            <v>--</v>
          </cell>
          <cell r="CY279" t="str">
            <v>--</v>
          </cell>
          <cell r="CZ279" t="str">
            <v>--</v>
          </cell>
          <cell r="DA279" t="str">
            <v>--</v>
          </cell>
          <cell r="DB279" t="str">
            <v>--</v>
          </cell>
          <cell r="DC279" t="str">
            <v>--</v>
          </cell>
          <cell r="DD279" t="str">
            <v>--</v>
          </cell>
          <cell r="DE279" t="str">
            <v>--</v>
          </cell>
          <cell r="DF279" t="str">
            <v>--</v>
          </cell>
          <cell r="DG279" t="str">
            <v>--</v>
          </cell>
          <cell r="DH279" t="str">
            <v>--</v>
          </cell>
          <cell r="DI279" t="str">
            <v>--</v>
          </cell>
          <cell r="DJ279" t="str">
            <v>--</v>
          </cell>
          <cell r="DK279" t="str">
            <v>--</v>
          </cell>
          <cell r="DL279" t="str">
            <v>--</v>
          </cell>
          <cell r="DM279" t="str">
            <v>--</v>
          </cell>
          <cell r="DN279" t="str">
            <v>--</v>
          </cell>
          <cell r="DO279" t="str">
            <v>--</v>
          </cell>
          <cell r="DP279" t="str">
            <v>--</v>
          </cell>
          <cell r="DQ279" t="str">
            <v>--</v>
          </cell>
          <cell r="DR279" t="str">
            <v>--</v>
          </cell>
          <cell r="DS279" t="str">
            <v>--</v>
          </cell>
          <cell r="DT279" t="str">
            <v>--</v>
          </cell>
          <cell r="DU279" t="str">
            <v>--</v>
          </cell>
          <cell r="DV279" t="str">
            <v>--</v>
          </cell>
          <cell r="DW279" t="str">
            <v>--</v>
          </cell>
          <cell r="DX279" t="str">
            <v>--</v>
          </cell>
          <cell r="DY279" t="str">
            <v>--</v>
          </cell>
          <cell r="DZ279" t="str">
            <v>--</v>
          </cell>
          <cell r="EA279" t="str">
            <v>--</v>
          </cell>
          <cell r="EB279" t="str">
            <v>--</v>
          </cell>
          <cell r="EC279" t="str">
            <v>--</v>
          </cell>
          <cell r="ED279" t="str">
            <v>--</v>
          </cell>
          <cell r="EE279" t="str">
            <v>--</v>
          </cell>
          <cell r="EF279" t="str">
            <v>--</v>
          </cell>
          <cell r="EG279" t="str">
            <v>--</v>
          </cell>
        </row>
        <row r="280">
          <cell r="A280" t="str">
            <v>02810025Afr. Amer/Black</v>
          </cell>
          <cell r="B280" t="str">
            <v>02810025B</v>
          </cell>
          <cell r="C280" t="str">
            <v>0281</v>
          </cell>
          <cell r="D280" t="str">
            <v>02810025</v>
          </cell>
          <cell r="E280" t="str">
            <v>Springfield</v>
          </cell>
          <cell r="F280" t="str">
            <v>Brightwood</v>
          </cell>
          <cell r="G280" t="str">
            <v>ES</v>
          </cell>
          <cell r="H280" t="str">
            <v>Springfield - Brightwood (02810025)</v>
          </cell>
          <cell r="I280" t="str">
            <v>Afr. Amer/Black</v>
          </cell>
          <cell r="J280" t="str">
            <v>02810025Afr. Amer/Black</v>
          </cell>
          <cell r="K280" t="str">
            <v>--</v>
          </cell>
          <cell r="L280">
            <v>39.299999999999997</v>
          </cell>
          <cell r="M280">
            <v>44.4</v>
          </cell>
          <cell r="N280">
            <v>52.1</v>
          </cell>
          <cell r="O280">
            <v>49.4</v>
          </cell>
          <cell r="P280">
            <v>56.3</v>
          </cell>
          <cell r="Q280">
            <v>54.5</v>
          </cell>
          <cell r="R280">
            <v>59.5</v>
          </cell>
          <cell r="S280">
            <v>64.599999999999994</v>
          </cell>
          <cell r="T280">
            <v>69.7</v>
          </cell>
          <cell r="U280">
            <v>42.9</v>
          </cell>
          <cell r="V280">
            <v>47.7</v>
          </cell>
          <cell r="W280">
            <v>36.5</v>
          </cell>
          <cell r="X280">
            <v>52.4</v>
          </cell>
          <cell r="Y280">
            <v>50</v>
          </cell>
          <cell r="Z280">
            <v>57.2</v>
          </cell>
          <cell r="AA280">
            <v>61.9</v>
          </cell>
          <cell r="AB280">
            <v>66.7</v>
          </cell>
          <cell r="AC280">
            <v>71.5</v>
          </cell>
          <cell r="AD280" t="str">
            <v>--</v>
          </cell>
          <cell r="AE280" t="str">
            <v>--</v>
          </cell>
          <cell r="AF280" t="str">
            <v>--</v>
          </cell>
          <cell r="AG280" t="str">
            <v>--</v>
          </cell>
          <cell r="AH280" t="str">
            <v>--</v>
          </cell>
          <cell r="AI280" t="str">
            <v>--</v>
          </cell>
          <cell r="AJ280" t="str">
            <v>--</v>
          </cell>
          <cell r="AK280" t="str">
            <v>--</v>
          </cell>
          <cell r="AL280" t="str">
            <v>--</v>
          </cell>
          <cell r="AM280" t="str">
            <v>--</v>
          </cell>
          <cell r="AN280" t="str">
            <v>--</v>
          </cell>
          <cell r="AO280" t="str">
            <v>--</v>
          </cell>
          <cell r="AP280" t="str">
            <v>--</v>
          </cell>
          <cell r="AQ280" t="str">
            <v>--</v>
          </cell>
          <cell r="AR280" t="str">
            <v>--</v>
          </cell>
          <cell r="AS280" t="str">
            <v>--</v>
          </cell>
          <cell r="AT280" t="str">
            <v>--</v>
          </cell>
          <cell r="AU280" t="str">
            <v>--</v>
          </cell>
          <cell r="AV280" t="str">
            <v>--</v>
          </cell>
          <cell r="AW280" t="str">
            <v>--</v>
          </cell>
          <cell r="AX280" t="str">
            <v>--</v>
          </cell>
          <cell r="AY280" t="str">
            <v>--</v>
          </cell>
          <cell r="AZ280" t="str">
            <v>--</v>
          </cell>
          <cell r="BA280" t="str">
            <v>--</v>
          </cell>
          <cell r="BB280" t="str">
            <v>--</v>
          </cell>
          <cell r="BC280" t="str">
            <v>--</v>
          </cell>
          <cell r="BD280" t="str">
            <v>--</v>
          </cell>
          <cell r="BE280" t="str">
            <v>--</v>
          </cell>
          <cell r="BF280" t="str">
            <v>--</v>
          </cell>
          <cell r="BG280" t="str">
            <v>--</v>
          </cell>
          <cell r="BH280" t="str">
            <v>--</v>
          </cell>
          <cell r="BI280" t="str">
            <v>--</v>
          </cell>
          <cell r="BJ280" t="str">
            <v>--</v>
          </cell>
          <cell r="BK280" t="str">
            <v>--</v>
          </cell>
          <cell r="BL280" t="str">
            <v>--</v>
          </cell>
          <cell r="BM280" t="str">
            <v>--</v>
          </cell>
          <cell r="BN280" t="str">
            <v>--</v>
          </cell>
          <cell r="BO280" t="str">
            <v>--</v>
          </cell>
          <cell r="BP280" t="str">
            <v>--</v>
          </cell>
          <cell r="BQ280" t="str">
            <v>--</v>
          </cell>
          <cell r="BR280" t="str">
            <v>--</v>
          </cell>
          <cell r="BS280" t="str">
            <v>--</v>
          </cell>
          <cell r="BT280" t="str">
            <v>--</v>
          </cell>
          <cell r="BU280" t="str">
            <v>--</v>
          </cell>
          <cell r="BV280" t="str">
            <v>--</v>
          </cell>
          <cell r="BW280" t="str">
            <v>--</v>
          </cell>
          <cell r="BX280" t="str">
            <v>--</v>
          </cell>
          <cell r="BY280" t="str">
            <v>--</v>
          </cell>
          <cell r="BZ280" t="str">
            <v>--</v>
          </cell>
          <cell r="CA280" t="str">
            <v>--</v>
          </cell>
          <cell r="CB280" t="str">
            <v>--</v>
          </cell>
          <cell r="CC280" t="str">
            <v>--</v>
          </cell>
          <cell r="CD280" t="str">
            <v>--</v>
          </cell>
          <cell r="CE280" t="str">
            <v>--</v>
          </cell>
          <cell r="CF280">
            <v>52.4</v>
          </cell>
          <cell r="CG280">
            <v>47.2</v>
          </cell>
          <cell r="CH280">
            <v>33.299999999999997</v>
          </cell>
          <cell r="CI280">
            <v>30</v>
          </cell>
          <cell r="CJ280">
            <v>45</v>
          </cell>
          <cell r="CK280">
            <v>40.5</v>
          </cell>
          <cell r="CL280">
            <v>36.5</v>
          </cell>
          <cell r="CM280">
            <v>32.799999999999997</v>
          </cell>
          <cell r="CN280">
            <v>29.5</v>
          </cell>
          <cell r="CO280">
            <v>52.4</v>
          </cell>
          <cell r="CP280">
            <v>47.2</v>
          </cell>
          <cell r="CQ280">
            <v>62.5</v>
          </cell>
          <cell r="CR280">
            <v>56.3</v>
          </cell>
          <cell r="CS280">
            <v>50</v>
          </cell>
          <cell r="CT280">
            <v>45</v>
          </cell>
          <cell r="CU280">
            <v>40.5</v>
          </cell>
          <cell r="CV280">
            <v>36.5</v>
          </cell>
          <cell r="CW280">
            <v>32.799999999999997</v>
          </cell>
          <cell r="CX280" t="str">
            <v>--</v>
          </cell>
          <cell r="CY280" t="str">
            <v>--</v>
          </cell>
          <cell r="CZ280" t="str">
            <v>--</v>
          </cell>
          <cell r="DA280" t="str">
            <v>--</v>
          </cell>
          <cell r="DB280" t="str">
            <v>--</v>
          </cell>
          <cell r="DC280" t="str">
            <v>--</v>
          </cell>
          <cell r="DD280" t="str">
            <v>--</v>
          </cell>
          <cell r="DE280" t="str">
            <v>--</v>
          </cell>
          <cell r="DF280" t="str">
            <v>--</v>
          </cell>
          <cell r="DG280">
            <v>0</v>
          </cell>
          <cell r="DH280">
            <v>1</v>
          </cell>
          <cell r="DI280">
            <v>0</v>
          </cell>
          <cell r="DJ280">
            <v>1</v>
          </cell>
          <cell r="DK280">
            <v>5</v>
          </cell>
          <cell r="DL280">
            <v>5.5</v>
          </cell>
          <cell r="DM280">
            <v>6.1</v>
          </cell>
          <cell r="DN280">
            <v>6.7</v>
          </cell>
          <cell r="DO280">
            <v>7.3</v>
          </cell>
          <cell r="DP280">
            <v>0</v>
          </cell>
          <cell r="DQ280">
            <v>1</v>
          </cell>
          <cell r="DR280">
            <v>0</v>
          </cell>
          <cell r="DS280">
            <v>1</v>
          </cell>
          <cell r="DT280">
            <v>5</v>
          </cell>
          <cell r="DU280">
            <v>5.5</v>
          </cell>
          <cell r="DV280">
            <v>6.1</v>
          </cell>
          <cell r="DW280">
            <v>6.7</v>
          </cell>
          <cell r="DX280">
            <v>7.3</v>
          </cell>
          <cell r="DY280" t="str">
            <v>--</v>
          </cell>
          <cell r="DZ280" t="str">
            <v>--</v>
          </cell>
          <cell r="EA280" t="str">
            <v>--</v>
          </cell>
          <cell r="EB280" t="str">
            <v>--</v>
          </cell>
          <cell r="EC280" t="str">
            <v>--</v>
          </cell>
          <cell r="ED280" t="str">
            <v>--</v>
          </cell>
          <cell r="EE280" t="str">
            <v>--</v>
          </cell>
          <cell r="EF280" t="str">
            <v>--</v>
          </cell>
          <cell r="EG280" t="str">
            <v>--</v>
          </cell>
        </row>
        <row r="281">
          <cell r="A281" t="str">
            <v>02810025White</v>
          </cell>
          <cell r="B281" t="str">
            <v>02810025C</v>
          </cell>
          <cell r="C281" t="str">
            <v>0281</v>
          </cell>
          <cell r="D281" t="str">
            <v>02810025</v>
          </cell>
          <cell r="E281" t="str">
            <v>Springfield</v>
          </cell>
          <cell r="F281" t="str">
            <v>Brightwood</v>
          </cell>
          <cell r="G281" t="str">
            <v>ES</v>
          </cell>
          <cell r="H281" t="str">
            <v>Springfield - Brightwood (02810025)</v>
          </cell>
          <cell r="I281" t="str">
            <v>White</v>
          </cell>
          <cell r="J281" t="str">
            <v>02810025White</v>
          </cell>
          <cell r="K281" t="str">
            <v>--</v>
          </cell>
          <cell r="L281" t="str">
            <v>--</v>
          </cell>
          <cell r="M281" t="str">
            <v>--</v>
          </cell>
          <cell r="N281" t="str">
            <v>--</v>
          </cell>
          <cell r="O281" t="str">
            <v>--</v>
          </cell>
          <cell r="P281" t="str">
            <v>--</v>
          </cell>
          <cell r="Q281" t="str">
            <v>--</v>
          </cell>
          <cell r="R281" t="str">
            <v>--</v>
          </cell>
          <cell r="S281" t="str">
            <v>--</v>
          </cell>
          <cell r="T281" t="str">
            <v>--</v>
          </cell>
          <cell r="U281" t="str">
            <v>--</v>
          </cell>
          <cell r="V281" t="str">
            <v>--</v>
          </cell>
          <cell r="W281" t="str">
            <v>--</v>
          </cell>
          <cell r="X281" t="str">
            <v>--</v>
          </cell>
          <cell r="Y281" t="str">
            <v>--</v>
          </cell>
          <cell r="Z281" t="str">
            <v>--</v>
          </cell>
          <cell r="AA281" t="str">
            <v>--</v>
          </cell>
          <cell r="AB281" t="str">
            <v>--</v>
          </cell>
          <cell r="AC281" t="str">
            <v>--</v>
          </cell>
          <cell r="AD281" t="str">
            <v>--</v>
          </cell>
          <cell r="AE281" t="str">
            <v>--</v>
          </cell>
          <cell r="AF281" t="str">
            <v>--</v>
          </cell>
          <cell r="AG281" t="str">
            <v>--</v>
          </cell>
          <cell r="AH281" t="str">
            <v>--</v>
          </cell>
          <cell r="AI281" t="str">
            <v>--</v>
          </cell>
          <cell r="AJ281" t="str">
            <v>--</v>
          </cell>
          <cell r="AK281" t="str">
            <v>--</v>
          </cell>
          <cell r="AL281" t="str">
            <v>--</v>
          </cell>
          <cell r="AM281" t="str">
            <v>--</v>
          </cell>
          <cell r="AN281" t="str">
            <v>--</v>
          </cell>
          <cell r="AO281" t="str">
            <v>--</v>
          </cell>
          <cell r="AP281" t="str">
            <v>--</v>
          </cell>
          <cell r="AQ281" t="str">
            <v>--</v>
          </cell>
          <cell r="AR281" t="str">
            <v>--</v>
          </cell>
          <cell r="AS281" t="str">
            <v>--</v>
          </cell>
          <cell r="AT281" t="str">
            <v>--</v>
          </cell>
          <cell r="AU281" t="str">
            <v>--</v>
          </cell>
          <cell r="AV281" t="str">
            <v>--</v>
          </cell>
          <cell r="AW281" t="str">
            <v>--</v>
          </cell>
          <cell r="AX281" t="str">
            <v>--</v>
          </cell>
          <cell r="AY281" t="str">
            <v>--</v>
          </cell>
          <cell r="AZ281" t="str">
            <v>--</v>
          </cell>
          <cell r="BA281" t="str">
            <v>--</v>
          </cell>
          <cell r="BB281" t="str">
            <v>--</v>
          </cell>
          <cell r="BC281" t="str">
            <v>--</v>
          </cell>
          <cell r="BD281" t="str">
            <v>--</v>
          </cell>
          <cell r="BE281" t="str">
            <v>--</v>
          </cell>
          <cell r="BF281" t="str">
            <v>--</v>
          </cell>
          <cell r="BG281" t="str">
            <v>--</v>
          </cell>
          <cell r="BH281" t="str">
            <v>--</v>
          </cell>
          <cell r="BI281" t="str">
            <v>--</v>
          </cell>
          <cell r="BJ281" t="str">
            <v>--</v>
          </cell>
          <cell r="BK281" t="str">
            <v>--</v>
          </cell>
          <cell r="BL281" t="str">
            <v>--</v>
          </cell>
          <cell r="BM281" t="str">
            <v>--</v>
          </cell>
          <cell r="BN281" t="str">
            <v>--</v>
          </cell>
          <cell r="BO281" t="str">
            <v>--</v>
          </cell>
          <cell r="BP281" t="str">
            <v>--</v>
          </cell>
          <cell r="BQ281" t="str">
            <v>--</v>
          </cell>
          <cell r="BR281" t="str">
            <v>--</v>
          </cell>
          <cell r="BS281" t="str">
            <v>--</v>
          </cell>
          <cell r="BT281" t="str">
            <v>--</v>
          </cell>
          <cell r="BU281" t="str">
            <v>--</v>
          </cell>
          <cell r="BV281" t="str">
            <v>--</v>
          </cell>
          <cell r="BW281" t="str">
            <v>--</v>
          </cell>
          <cell r="BX281" t="str">
            <v>--</v>
          </cell>
          <cell r="BY281" t="str">
            <v>--</v>
          </cell>
          <cell r="BZ281" t="str">
            <v>--</v>
          </cell>
          <cell r="CA281" t="str">
            <v>--</v>
          </cell>
          <cell r="CB281" t="str">
            <v>--</v>
          </cell>
          <cell r="CC281" t="str">
            <v>--</v>
          </cell>
          <cell r="CD281" t="str">
            <v>--</v>
          </cell>
          <cell r="CE281" t="str">
            <v>--</v>
          </cell>
          <cell r="CF281" t="str">
            <v>--</v>
          </cell>
          <cell r="CG281" t="str">
            <v>--</v>
          </cell>
          <cell r="CH281" t="str">
            <v>--</v>
          </cell>
          <cell r="CI281" t="str">
            <v>--</v>
          </cell>
          <cell r="CJ281" t="str">
            <v>--</v>
          </cell>
          <cell r="CK281" t="str">
            <v>--</v>
          </cell>
          <cell r="CL281" t="str">
            <v>--</v>
          </cell>
          <cell r="CM281" t="str">
            <v>--</v>
          </cell>
          <cell r="CN281" t="str">
            <v>--</v>
          </cell>
          <cell r="CO281" t="str">
            <v>--</v>
          </cell>
          <cell r="CP281" t="str">
            <v>--</v>
          </cell>
          <cell r="CQ281" t="str">
            <v>--</v>
          </cell>
          <cell r="CR281" t="str">
            <v>--</v>
          </cell>
          <cell r="CS281" t="str">
            <v>--</v>
          </cell>
          <cell r="CT281" t="str">
            <v>--</v>
          </cell>
          <cell r="CU281" t="str">
            <v>--</v>
          </cell>
          <cell r="CV281" t="str">
            <v>--</v>
          </cell>
          <cell r="CW281" t="str">
            <v>--</v>
          </cell>
          <cell r="CX281" t="str">
            <v>--</v>
          </cell>
          <cell r="CY281" t="str">
            <v>--</v>
          </cell>
          <cell r="CZ281" t="str">
            <v>--</v>
          </cell>
          <cell r="DA281" t="str">
            <v>--</v>
          </cell>
          <cell r="DB281" t="str">
            <v>--</v>
          </cell>
          <cell r="DC281" t="str">
            <v>--</v>
          </cell>
          <cell r="DD281" t="str">
            <v>--</v>
          </cell>
          <cell r="DE281" t="str">
            <v>--</v>
          </cell>
          <cell r="DF281" t="str">
            <v>--</v>
          </cell>
          <cell r="DG281" t="str">
            <v>--</v>
          </cell>
          <cell r="DH281" t="str">
            <v>--</v>
          </cell>
          <cell r="DI281" t="str">
            <v>--</v>
          </cell>
          <cell r="DJ281" t="str">
            <v>--</v>
          </cell>
          <cell r="DK281" t="str">
            <v>--</v>
          </cell>
          <cell r="DL281" t="str">
            <v>--</v>
          </cell>
          <cell r="DM281" t="str">
            <v>--</v>
          </cell>
          <cell r="DN281" t="str">
            <v>--</v>
          </cell>
          <cell r="DO281" t="str">
            <v>--</v>
          </cell>
          <cell r="DP281" t="str">
            <v>--</v>
          </cell>
          <cell r="DQ281" t="str">
            <v>--</v>
          </cell>
          <cell r="DR281" t="str">
            <v>--</v>
          </cell>
          <cell r="DS281" t="str">
            <v>--</v>
          </cell>
          <cell r="DT281" t="str">
            <v>--</v>
          </cell>
          <cell r="DU281" t="str">
            <v>--</v>
          </cell>
          <cell r="DV281" t="str">
            <v>--</v>
          </cell>
          <cell r="DW281" t="str">
            <v>--</v>
          </cell>
          <cell r="DX281" t="str">
            <v>--</v>
          </cell>
          <cell r="DY281" t="str">
            <v>--</v>
          </cell>
          <cell r="DZ281" t="str">
            <v>--</v>
          </cell>
          <cell r="EA281" t="str">
            <v>--</v>
          </cell>
          <cell r="EB281" t="str">
            <v>--</v>
          </cell>
          <cell r="EC281" t="str">
            <v>--</v>
          </cell>
          <cell r="ED281" t="str">
            <v>--</v>
          </cell>
          <cell r="EE281" t="str">
            <v>--</v>
          </cell>
          <cell r="EF281" t="str">
            <v>--</v>
          </cell>
          <cell r="EG281" t="str">
            <v>--</v>
          </cell>
        </row>
        <row r="282">
          <cell r="A282" t="str">
            <v>02810025Students w/disabilities</v>
          </cell>
          <cell r="B282" t="str">
            <v>02810025D</v>
          </cell>
          <cell r="C282" t="str">
            <v>0281</v>
          </cell>
          <cell r="D282" t="str">
            <v>02810025</v>
          </cell>
          <cell r="E282" t="str">
            <v>Springfield</v>
          </cell>
          <cell r="F282" t="str">
            <v>Brightwood</v>
          </cell>
          <cell r="G282" t="str">
            <v>ES</v>
          </cell>
          <cell r="H282" t="str">
            <v>Springfield - Brightwood (02810025)</v>
          </cell>
          <cell r="I282" t="str">
            <v>Students w/disabilities</v>
          </cell>
          <cell r="J282" t="str">
            <v>02810025Students w/disabilities</v>
          </cell>
          <cell r="K282" t="str">
            <v>--</v>
          </cell>
          <cell r="L282">
            <v>28</v>
          </cell>
          <cell r="M282">
            <v>34</v>
          </cell>
          <cell r="N282">
            <v>50</v>
          </cell>
          <cell r="O282">
            <v>40</v>
          </cell>
          <cell r="P282">
            <v>50</v>
          </cell>
          <cell r="Q282">
            <v>46</v>
          </cell>
          <cell r="R282">
            <v>52</v>
          </cell>
          <cell r="S282">
            <v>58</v>
          </cell>
          <cell r="T282">
            <v>64</v>
          </cell>
          <cell r="U282">
            <v>37.1</v>
          </cell>
          <cell r="V282">
            <v>42.3</v>
          </cell>
          <cell r="W282">
            <v>62.5</v>
          </cell>
          <cell r="X282">
            <v>47.6</v>
          </cell>
          <cell r="Y282">
            <v>55.8</v>
          </cell>
          <cell r="Z282">
            <v>52.8</v>
          </cell>
          <cell r="AA282">
            <v>58.1</v>
          </cell>
          <cell r="AB282">
            <v>63.3</v>
          </cell>
          <cell r="AC282">
            <v>68.599999999999994</v>
          </cell>
          <cell r="AD282">
            <v>31</v>
          </cell>
          <cell r="AE282">
            <v>36.799999999999997</v>
          </cell>
          <cell r="AF282">
            <v>28.1</v>
          </cell>
          <cell r="AG282">
            <v>42.5</v>
          </cell>
          <cell r="AH282">
            <v>50</v>
          </cell>
          <cell r="AI282">
            <v>48.3</v>
          </cell>
          <cell r="AJ282">
            <v>54</v>
          </cell>
          <cell r="AK282">
            <v>59.8</v>
          </cell>
          <cell r="AL282">
            <v>65.5</v>
          </cell>
          <cell r="AM282" t="str">
            <v>--</v>
          </cell>
          <cell r="AN282" t="str">
            <v>--</v>
          </cell>
          <cell r="AO282" t="str">
            <v>--</v>
          </cell>
          <cell r="AP282" t="str">
            <v>--</v>
          </cell>
          <cell r="AQ282" t="str">
            <v>--</v>
          </cell>
          <cell r="AR282" t="str">
            <v>--</v>
          </cell>
          <cell r="AS282" t="str">
            <v>--</v>
          </cell>
          <cell r="AT282" t="str">
            <v>--</v>
          </cell>
          <cell r="AU282" t="str">
            <v>--</v>
          </cell>
          <cell r="AV282" t="str">
            <v>--</v>
          </cell>
          <cell r="AW282" t="str">
            <v>--</v>
          </cell>
          <cell r="AX282" t="str">
            <v>--</v>
          </cell>
          <cell r="AY282" t="str">
            <v>--</v>
          </cell>
          <cell r="AZ282" t="str">
            <v>--</v>
          </cell>
          <cell r="BA282" t="str">
            <v>--</v>
          </cell>
          <cell r="BB282" t="str">
            <v>--</v>
          </cell>
          <cell r="BC282" t="str">
            <v>--</v>
          </cell>
          <cell r="BD282" t="str">
            <v>--</v>
          </cell>
          <cell r="BE282" t="str">
            <v>--</v>
          </cell>
          <cell r="BF282" t="str">
            <v>--</v>
          </cell>
          <cell r="BG282" t="str">
            <v>--</v>
          </cell>
          <cell r="BH282" t="str">
            <v>--</v>
          </cell>
          <cell r="BI282" t="str">
            <v>--</v>
          </cell>
          <cell r="BJ282" t="str">
            <v>--</v>
          </cell>
          <cell r="BK282" t="str">
            <v>--</v>
          </cell>
          <cell r="BL282" t="str">
            <v>--</v>
          </cell>
          <cell r="BM282" t="str">
            <v>--</v>
          </cell>
          <cell r="BN282">
            <v>21.5</v>
          </cell>
          <cell r="BO282">
            <v>31.5</v>
          </cell>
          <cell r="BP282" t="str">
            <v>--</v>
          </cell>
          <cell r="BQ282">
            <v>41.5</v>
          </cell>
          <cell r="BR282" t="str">
            <v>--</v>
          </cell>
          <cell r="BS282">
            <v>51</v>
          </cell>
          <cell r="BT282">
            <v>51</v>
          </cell>
          <cell r="BU282">
            <v>51</v>
          </cell>
          <cell r="BV282">
            <v>51</v>
          </cell>
          <cell r="BW282">
            <v>17</v>
          </cell>
          <cell r="BX282">
            <v>27</v>
          </cell>
          <cell r="BY282" t="str">
            <v>--</v>
          </cell>
          <cell r="BZ282">
            <v>37</v>
          </cell>
          <cell r="CA282" t="str">
            <v>--</v>
          </cell>
          <cell r="CB282">
            <v>47</v>
          </cell>
          <cell r="CC282">
            <v>51</v>
          </cell>
          <cell r="CD282">
            <v>51</v>
          </cell>
          <cell r="CE282">
            <v>51</v>
          </cell>
          <cell r="CF282">
            <v>72.7</v>
          </cell>
          <cell r="CG282">
            <v>65.400000000000006</v>
          </cell>
          <cell r="CH282">
            <v>22.2</v>
          </cell>
          <cell r="CI282">
            <v>65.400000000000006</v>
          </cell>
          <cell r="CJ282">
            <v>46.2</v>
          </cell>
          <cell r="CK282" t="str">
            <v>--</v>
          </cell>
          <cell r="CL282" t="str">
            <v>--</v>
          </cell>
          <cell r="CM282" t="str">
            <v>--</v>
          </cell>
          <cell r="CN282" t="str">
            <v>--</v>
          </cell>
          <cell r="CO282">
            <v>63.6</v>
          </cell>
          <cell r="CP282">
            <v>57.2</v>
          </cell>
          <cell r="CQ282">
            <v>22.2</v>
          </cell>
          <cell r="CR282">
            <v>57.2</v>
          </cell>
          <cell r="CS282">
            <v>46.2</v>
          </cell>
          <cell r="CT282" t="str">
            <v>--</v>
          </cell>
          <cell r="CU282" t="str">
            <v>--</v>
          </cell>
          <cell r="CV282" t="str">
            <v>--</v>
          </cell>
          <cell r="CW282" t="str">
            <v>--</v>
          </cell>
          <cell r="CX282">
            <v>88.9</v>
          </cell>
          <cell r="CY282">
            <v>64.3</v>
          </cell>
          <cell r="CZ282">
            <v>87.5</v>
          </cell>
          <cell r="DA282" t="str">
            <v>--</v>
          </cell>
          <cell r="DB282">
            <v>40</v>
          </cell>
          <cell r="DC282" t="str">
            <v>--</v>
          </cell>
          <cell r="DD282" t="str">
            <v>--</v>
          </cell>
          <cell r="DE282" t="str">
            <v>--</v>
          </cell>
          <cell r="DF282" t="str">
            <v>--</v>
          </cell>
          <cell r="DG282">
            <v>0</v>
          </cell>
          <cell r="DH282">
            <v>1</v>
          </cell>
          <cell r="DI282">
            <v>0</v>
          </cell>
          <cell r="DJ282">
            <v>1</v>
          </cell>
          <cell r="DK282">
            <v>0</v>
          </cell>
          <cell r="DL282" t="str">
            <v>--</v>
          </cell>
          <cell r="DM282" t="str">
            <v>--</v>
          </cell>
          <cell r="DN282" t="str">
            <v>--</v>
          </cell>
          <cell r="DO282" t="str">
            <v>--</v>
          </cell>
          <cell r="DP282">
            <v>0</v>
          </cell>
          <cell r="DQ282">
            <v>1</v>
          </cell>
          <cell r="DR282">
            <v>0</v>
          </cell>
          <cell r="DS282">
            <v>1</v>
          </cell>
          <cell r="DT282">
            <v>0</v>
          </cell>
          <cell r="DU282" t="str">
            <v>--</v>
          </cell>
          <cell r="DV282" t="str">
            <v>--</v>
          </cell>
          <cell r="DW282" t="str">
            <v>--</v>
          </cell>
          <cell r="DX282" t="str">
            <v>--</v>
          </cell>
          <cell r="DY282">
            <v>0</v>
          </cell>
          <cell r="DZ282">
            <v>1</v>
          </cell>
          <cell r="EA282">
            <v>0</v>
          </cell>
          <cell r="EB282" t="str">
            <v>--</v>
          </cell>
          <cell r="EC282">
            <v>0</v>
          </cell>
          <cell r="ED282" t="str">
            <v>--</v>
          </cell>
          <cell r="EE282" t="str">
            <v>--</v>
          </cell>
          <cell r="EF282" t="str">
            <v>--</v>
          </cell>
          <cell r="EG282" t="str">
            <v>--</v>
          </cell>
        </row>
        <row r="283">
          <cell r="A283" t="str">
            <v>02810025Low income</v>
          </cell>
          <cell r="B283" t="str">
            <v>02810025F</v>
          </cell>
          <cell r="C283" t="str">
            <v>0281</v>
          </cell>
          <cell r="D283" t="str">
            <v>02810025</v>
          </cell>
          <cell r="E283" t="str">
            <v>Springfield</v>
          </cell>
          <cell r="F283" t="str">
            <v>Brightwood</v>
          </cell>
          <cell r="G283" t="str">
            <v>ES</v>
          </cell>
          <cell r="H283" t="str">
            <v>Springfield - Brightwood (02810025)</v>
          </cell>
          <cell r="I283" t="str">
            <v>Low income</v>
          </cell>
          <cell r="J283" t="str">
            <v>02810025Low income</v>
          </cell>
          <cell r="K283" t="str">
            <v>--</v>
          </cell>
          <cell r="L283">
            <v>50.4</v>
          </cell>
          <cell r="M283">
            <v>54.5</v>
          </cell>
          <cell r="N283">
            <v>55.2</v>
          </cell>
          <cell r="O283">
            <v>58.7</v>
          </cell>
          <cell r="P283">
            <v>57</v>
          </cell>
          <cell r="Q283">
            <v>62.8</v>
          </cell>
          <cell r="R283">
            <v>66.900000000000006</v>
          </cell>
          <cell r="S283">
            <v>71.099999999999994</v>
          </cell>
          <cell r="T283">
            <v>75.2</v>
          </cell>
          <cell r="U283">
            <v>48</v>
          </cell>
          <cell r="V283">
            <v>52.3</v>
          </cell>
          <cell r="W283">
            <v>43.5</v>
          </cell>
          <cell r="X283">
            <v>56.7</v>
          </cell>
          <cell r="Y283">
            <v>55.3</v>
          </cell>
          <cell r="Z283">
            <v>61</v>
          </cell>
          <cell r="AA283">
            <v>65.3</v>
          </cell>
          <cell r="AB283">
            <v>69.7</v>
          </cell>
          <cell r="AC283">
            <v>74</v>
          </cell>
          <cell r="AD283">
            <v>42</v>
          </cell>
          <cell r="AE283">
            <v>46.8</v>
          </cell>
          <cell r="AF283">
            <v>41.7</v>
          </cell>
          <cell r="AG283">
            <v>51.7</v>
          </cell>
          <cell r="AH283">
            <v>54.5</v>
          </cell>
          <cell r="AI283">
            <v>56.5</v>
          </cell>
          <cell r="AJ283">
            <v>61.3</v>
          </cell>
          <cell r="AK283">
            <v>66.2</v>
          </cell>
          <cell r="AL283">
            <v>71</v>
          </cell>
          <cell r="AM283" t="str">
            <v>--</v>
          </cell>
          <cell r="AN283" t="str">
            <v>--</v>
          </cell>
          <cell r="AO283" t="str">
            <v>--</v>
          </cell>
          <cell r="AP283" t="str">
            <v>--</v>
          </cell>
          <cell r="AQ283" t="str">
            <v>--</v>
          </cell>
          <cell r="AR283" t="str">
            <v>--</v>
          </cell>
          <cell r="AS283" t="str">
            <v>--</v>
          </cell>
          <cell r="AT283" t="str">
            <v>--</v>
          </cell>
          <cell r="AU283" t="str">
            <v>--</v>
          </cell>
          <cell r="AV283" t="str">
            <v>--</v>
          </cell>
          <cell r="AW283" t="str">
            <v>--</v>
          </cell>
          <cell r="AX283" t="str">
            <v>--</v>
          </cell>
          <cell r="AY283" t="str">
            <v>--</v>
          </cell>
          <cell r="AZ283" t="str">
            <v>--</v>
          </cell>
          <cell r="BA283" t="str">
            <v>--</v>
          </cell>
          <cell r="BB283" t="str">
            <v>--</v>
          </cell>
          <cell r="BC283" t="str">
            <v>--</v>
          </cell>
          <cell r="BD283" t="str">
            <v>--</v>
          </cell>
          <cell r="BE283" t="str">
            <v>--</v>
          </cell>
          <cell r="BF283" t="str">
            <v>--</v>
          </cell>
          <cell r="BG283" t="str">
            <v>--</v>
          </cell>
          <cell r="BH283" t="str">
            <v>--</v>
          </cell>
          <cell r="BI283" t="str">
            <v>--</v>
          </cell>
          <cell r="BJ283" t="str">
            <v>--</v>
          </cell>
          <cell r="BK283" t="str">
            <v>--</v>
          </cell>
          <cell r="BL283" t="str">
            <v>--</v>
          </cell>
          <cell r="BM283" t="str">
            <v>--</v>
          </cell>
          <cell r="BN283">
            <v>29</v>
          </cell>
          <cell r="BO283">
            <v>39</v>
          </cell>
          <cell r="BP283">
            <v>45</v>
          </cell>
          <cell r="BQ283">
            <v>51</v>
          </cell>
          <cell r="BR283">
            <v>53</v>
          </cell>
          <cell r="BS283">
            <v>51</v>
          </cell>
          <cell r="BT283">
            <v>51</v>
          </cell>
          <cell r="BU283">
            <v>51</v>
          </cell>
          <cell r="BV283">
            <v>51</v>
          </cell>
          <cell r="BW283">
            <v>32</v>
          </cell>
          <cell r="BX283">
            <v>42</v>
          </cell>
          <cell r="BY283">
            <v>34</v>
          </cell>
          <cell r="BZ283">
            <v>44</v>
          </cell>
          <cell r="CA283">
            <v>49</v>
          </cell>
          <cell r="CB283">
            <v>51</v>
          </cell>
          <cell r="CC283">
            <v>51</v>
          </cell>
          <cell r="CD283">
            <v>51</v>
          </cell>
          <cell r="CE283">
            <v>51</v>
          </cell>
          <cell r="CF283">
            <v>39.9</v>
          </cell>
          <cell r="CG283">
            <v>35.9</v>
          </cell>
          <cell r="CH283">
            <v>30.5</v>
          </cell>
          <cell r="CI283">
            <v>27.5</v>
          </cell>
          <cell r="CJ283">
            <v>33.299999999999997</v>
          </cell>
          <cell r="CK283">
            <v>30</v>
          </cell>
          <cell r="CL283">
            <v>27</v>
          </cell>
          <cell r="CM283">
            <v>24.3</v>
          </cell>
          <cell r="CN283">
            <v>21.8</v>
          </cell>
          <cell r="CO283">
            <v>46.1</v>
          </cell>
          <cell r="CP283">
            <v>41.5</v>
          </cell>
          <cell r="CQ283">
            <v>50.9</v>
          </cell>
          <cell r="CR283">
            <v>45.8</v>
          </cell>
          <cell r="CS283">
            <v>38.799999999999997</v>
          </cell>
          <cell r="CT283">
            <v>34.9</v>
          </cell>
          <cell r="CU283">
            <v>31.4</v>
          </cell>
          <cell r="CV283">
            <v>28.3</v>
          </cell>
          <cell r="CW283">
            <v>25.5</v>
          </cell>
          <cell r="CX283">
            <v>56</v>
          </cell>
          <cell r="CY283">
            <v>50.4</v>
          </cell>
          <cell r="CZ283">
            <v>54.4</v>
          </cell>
          <cell r="DA283">
            <v>49</v>
          </cell>
          <cell r="DB283">
            <v>36</v>
          </cell>
          <cell r="DC283">
            <v>32.4</v>
          </cell>
          <cell r="DD283">
            <v>29.2</v>
          </cell>
          <cell r="DE283">
            <v>26.2</v>
          </cell>
          <cell r="DF283">
            <v>23.6</v>
          </cell>
          <cell r="DG283">
            <v>0</v>
          </cell>
          <cell r="DH283">
            <v>1</v>
          </cell>
          <cell r="DI283">
            <v>0.6</v>
          </cell>
          <cell r="DJ283">
            <v>0.7</v>
          </cell>
          <cell r="DK283">
            <v>0.7</v>
          </cell>
          <cell r="DL283">
            <v>0.8</v>
          </cell>
          <cell r="DM283">
            <v>0.8</v>
          </cell>
          <cell r="DN283">
            <v>0.9</v>
          </cell>
          <cell r="DO283">
            <v>1</v>
          </cell>
          <cell r="DP283">
            <v>0.6</v>
          </cell>
          <cell r="DQ283">
            <v>0.7</v>
          </cell>
          <cell r="DR283">
            <v>1.2</v>
          </cell>
          <cell r="DS283">
            <v>1.3</v>
          </cell>
          <cell r="DT283">
            <v>4.0999999999999996</v>
          </cell>
          <cell r="DU283">
            <v>4.5</v>
          </cell>
          <cell r="DV283">
            <v>5</v>
          </cell>
          <cell r="DW283">
            <v>5.5</v>
          </cell>
          <cell r="DX283">
            <v>6</v>
          </cell>
          <cell r="DY283">
            <v>0</v>
          </cell>
          <cell r="DZ283">
            <v>1</v>
          </cell>
          <cell r="EA283">
            <v>0</v>
          </cell>
          <cell r="EB283">
            <v>1</v>
          </cell>
          <cell r="EC283">
            <v>0</v>
          </cell>
          <cell r="ED283">
            <v>1</v>
          </cell>
          <cell r="EE283">
            <v>1.1000000000000001</v>
          </cell>
          <cell r="EF283">
            <v>1.2</v>
          </cell>
          <cell r="EG283">
            <v>1.3</v>
          </cell>
        </row>
        <row r="284">
          <cell r="A284" t="str">
            <v>02810025Hispanic/Latino</v>
          </cell>
          <cell r="B284" t="str">
            <v>02810025H</v>
          </cell>
          <cell r="C284" t="str">
            <v>0281</v>
          </cell>
          <cell r="D284" t="str">
            <v>02810025</v>
          </cell>
          <cell r="E284" t="str">
            <v>Springfield</v>
          </cell>
          <cell r="F284" t="str">
            <v>Brightwood</v>
          </cell>
          <cell r="G284" t="str">
            <v>ES</v>
          </cell>
          <cell r="H284" t="str">
            <v>Springfield - Brightwood (02810025)</v>
          </cell>
          <cell r="I284" t="str">
            <v>Hispanic/Latino</v>
          </cell>
          <cell r="J284" t="str">
            <v>02810025Hispanic/Latino</v>
          </cell>
          <cell r="K284" t="str">
            <v>--</v>
          </cell>
          <cell r="L284">
            <v>51.1</v>
          </cell>
          <cell r="M284">
            <v>55.2</v>
          </cell>
          <cell r="N284">
            <v>55.7</v>
          </cell>
          <cell r="O284">
            <v>59.3</v>
          </cell>
          <cell r="P284">
            <v>57.1</v>
          </cell>
          <cell r="Q284">
            <v>63.3</v>
          </cell>
          <cell r="R284">
            <v>67.400000000000006</v>
          </cell>
          <cell r="S284">
            <v>71.5</v>
          </cell>
          <cell r="T284">
            <v>75.599999999999994</v>
          </cell>
          <cell r="U284">
            <v>48.2</v>
          </cell>
          <cell r="V284">
            <v>52.5</v>
          </cell>
          <cell r="W284">
            <v>44.6</v>
          </cell>
          <cell r="X284">
            <v>56.8</v>
          </cell>
          <cell r="Y284">
            <v>56.3</v>
          </cell>
          <cell r="Z284">
            <v>61.2</v>
          </cell>
          <cell r="AA284">
            <v>65.5</v>
          </cell>
          <cell r="AB284">
            <v>69.8</v>
          </cell>
          <cell r="AC284">
            <v>74.099999999999994</v>
          </cell>
          <cell r="AD284">
            <v>42</v>
          </cell>
          <cell r="AE284">
            <v>46.8</v>
          </cell>
          <cell r="AF284">
            <v>42.9</v>
          </cell>
          <cell r="AG284">
            <v>51.7</v>
          </cell>
          <cell r="AH284">
            <v>54.8</v>
          </cell>
          <cell r="AI284">
            <v>56.5</v>
          </cell>
          <cell r="AJ284">
            <v>61.3</v>
          </cell>
          <cell r="AK284">
            <v>66.2</v>
          </cell>
          <cell r="AL284">
            <v>71</v>
          </cell>
          <cell r="AM284" t="str">
            <v>--</v>
          </cell>
          <cell r="AN284" t="str">
            <v>--</v>
          </cell>
          <cell r="AO284" t="str">
            <v>--</v>
          </cell>
          <cell r="AP284" t="str">
            <v>--</v>
          </cell>
          <cell r="AQ284" t="str">
            <v>--</v>
          </cell>
          <cell r="AR284" t="str">
            <v>--</v>
          </cell>
          <cell r="AS284" t="str">
            <v>--</v>
          </cell>
          <cell r="AT284" t="str">
            <v>--</v>
          </cell>
          <cell r="AU284" t="str">
            <v>--</v>
          </cell>
          <cell r="AV284" t="str">
            <v>--</v>
          </cell>
          <cell r="AW284" t="str">
            <v>--</v>
          </cell>
          <cell r="AX284" t="str">
            <v>--</v>
          </cell>
          <cell r="AY284" t="str">
            <v>--</v>
          </cell>
          <cell r="AZ284" t="str">
            <v>--</v>
          </cell>
          <cell r="BA284" t="str">
            <v>--</v>
          </cell>
          <cell r="BB284" t="str">
            <v>--</v>
          </cell>
          <cell r="BC284" t="str">
            <v>--</v>
          </cell>
          <cell r="BD284" t="str">
            <v>--</v>
          </cell>
          <cell r="BE284" t="str">
            <v>--</v>
          </cell>
          <cell r="BF284" t="str">
            <v>--</v>
          </cell>
          <cell r="BG284" t="str">
            <v>--</v>
          </cell>
          <cell r="BH284" t="str">
            <v>--</v>
          </cell>
          <cell r="BI284" t="str">
            <v>--</v>
          </cell>
          <cell r="BJ284" t="str">
            <v>--</v>
          </cell>
          <cell r="BK284" t="str">
            <v>--</v>
          </cell>
          <cell r="BL284" t="str">
            <v>--</v>
          </cell>
          <cell r="BM284" t="str">
            <v>--</v>
          </cell>
          <cell r="BN284">
            <v>28</v>
          </cell>
          <cell r="BO284">
            <v>38</v>
          </cell>
          <cell r="BP284">
            <v>45.5</v>
          </cell>
          <cell r="BQ284">
            <v>51</v>
          </cell>
          <cell r="BR284">
            <v>55</v>
          </cell>
          <cell r="BS284">
            <v>51</v>
          </cell>
          <cell r="BT284">
            <v>51</v>
          </cell>
          <cell r="BU284">
            <v>51</v>
          </cell>
          <cell r="BV284">
            <v>51</v>
          </cell>
          <cell r="BW284">
            <v>33</v>
          </cell>
          <cell r="BX284">
            <v>43</v>
          </cell>
          <cell r="BY284">
            <v>32.5</v>
          </cell>
          <cell r="BZ284">
            <v>42.5</v>
          </cell>
          <cell r="CA284">
            <v>50.5</v>
          </cell>
          <cell r="CB284">
            <v>51</v>
          </cell>
          <cell r="CC284">
            <v>51</v>
          </cell>
          <cell r="CD284">
            <v>51</v>
          </cell>
          <cell r="CE284">
            <v>51</v>
          </cell>
          <cell r="CF284">
            <v>38.700000000000003</v>
          </cell>
          <cell r="CG284">
            <v>34.799999999999997</v>
          </cell>
          <cell r="CH284">
            <v>30.2</v>
          </cell>
          <cell r="CI284">
            <v>27.2</v>
          </cell>
          <cell r="CJ284">
            <v>31.7</v>
          </cell>
          <cell r="CK284">
            <v>28.5</v>
          </cell>
          <cell r="CL284">
            <v>25.7</v>
          </cell>
          <cell r="CM284">
            <v>23.1</v>
          </cell>
          <cell r="CN284">
            <v>20.8</v>
          </cell>
          <cell r="CO284">
            <v>47.1</v>
          </cell>
          <cell r="CP284">
            <v>42.4</v>
          </cell>
          <cell r="CQ284">
            <v>48.6</v>
          </cell>
          <cell r="CR284">
            <v>43.7</v>
          </cell>
          <cell r="CS284">
            <v>36.5</v>
          </cell>
          <cell r="CT284">
            <v>32.9</v>
          </cell>
          <cell r="CU284">
            <v>29.6</v>
          </cell>
          <cell r="CV284">
            <v>26.6</v>
          </cell>
          <cell r="CW284">
            <v>23.9</v>
          </cell>
          <cell r="CX284">
            <v>54.5</v>
          </cell>
          <cell r="CY284">
            <v>49.1</v>
          </cell>
          <cell r="CZ284">
            <v>51</v>
          </cell>
          <cell r="DA284">
            <v>45.9</v>
          </cell>
          <cell r="DB284">
            <v>35.700000000000003</v>
          </cell>
          <cell r="DC284">
            <v>32.1</v>
          </cell>
          <cell r="DD284">
            <v>28.9</v>
          </cell>
          <cell r="DE284">
            <v>26</v>
          </cell>
          <cell r="DF284">
            <v>23.4</v>
          </cell>
          <cell r="DG284">
            <v>0</v>
          </cell>
          <cell r="DH284">
            <v>1</v>
          </cell>
          <cell r="DI284">
            <v>0.7</v>
          </cell>
          <cell r="DJ284">
            <v>0.8</v>
          </cell>
          <cell r="DK284">
            <v>0</v>
          </cell>
          <cell r="DL284">
            <v>1</v>
          </cell>
          <cell r="DM284">
            <v>1.1000000000000001</v>
          </cell>
          <cell r="DN284">
            <v>1.2</v>
          </cell>
          <cell r="DO284">
            <v>1.3</v>
          </cell>
          <cell r="DP284">
            <v>0.6</v>
          </cell>
          <cell r="DQ284">
            <v>0.7</v>
          </cell>
          <cell r="DR284">
            <v>1.4</v>
          </cell>
          <cell r="DS284">
            <v>1.5</v>
          </cell>
          <cell r="DT284">
            <v>4</v>
          </cell>
          <cell r="DU284">
            <v>4.4000000000000004</v>
          </cell>
          <cell r="DV284">
            <v>4.8</v>
          </cell>
          <cell r="DW284">
            <v>5.3</v>
          </cell>
          <cell r="DX284">
            <v>5.9</v>
          </cell>
          <cell r="DY284">
            <v>0</v>
          </cell>
          <cell r="DZ284">
            <v>1</v>
          </cell>
          <cell r="EA284">
            <v>0</v>
          </cell>
          <cell r="EB284">
            <v>1</v>
          </cell>
          <cell r="EC284">
            <v>0</v>
          </cell>
          <cell r="ED284">
            <v>1</v>
          </cell>
          <cell r="EE284">
            <v>1.1000000000000001</v>
          </cell>
          <cell r="EF284">
            <v>1.2</v>
          </cell>
          <cell r="EG284">
            <v>1.3</v>
          </cell>
        </row>
        <row r="285">
          <cell r="A285" t="str">
            <v>02810025ELL and Former ELL</v>
          </cell>
          <cell r="B285" t="str">
            <v>02810025L</v>
          </cell>
          <cell r="C285" t="str">
            <v>0281</v>
          </cell>
          <cell r="D285" t="str">
            <v>02810025</v>
          </cell>
          <cell r="E285" t="str">
            <v>Springfield</v>
          </cell>
          <cell r="F285" t="str">
            <v>Brightwood</v>
          </cell>
          <cell r="G285" t="str">
            <v>ES</v>
          </cell>
          <cell r="H285" t="str">
            <v>Springfield - Brightwood (02810025)</v>
          </cell>
          <cell r="I285" t="str">
            <v>ELL and Former ELL</v>
          </cell>
          <cell r="J285" t="str">
            <v>02810025ELL and Former ELL</v>
          </cell>
          <cell r="K285" t="str">
            <v>--</v>
          </cell>
          <cell r="L285">
            <v>39.9</v>
          </cell>
          <cell r="M285">
            <v>44.9</v>
          </cell>
          <cell r="N285">
            <v>43.7</v>
          </cell>
          <cell r="O285">
            <v>49.9</v>
          </cell>
          <cell r="P285">
            <v>42.5</v>
          </cell>
          <cell r="Q285">
            <v>56.2</v>
          </cell>
          <cell r="R285">
            <v>61.2</v>
          </cell>
          <cell r="S285">
            <v>66.2</v>
          </cell>
          <cell r="T285">
            <v>71.3</v>
          </cell>
          <cell r="U285">
            <v>41.2</v>
          </cell>
          <cell r="V285">
            <v>46.1</v>
          </cell>
          <cell r="W285">
            <v>34.9</v>
          </cell>
          <cell r="X285">
            <v>51</v>
          </cell>
          <cell r="Y285">
            <v>43.5</v>
          </cell>
          <cell r="Z285">
            <v>57.2</v>
          </cell>
          <cell r="AA285">
            <v>62.1</v>
          </cell>
          <cell r="AB285">
            <v>67</v>
          </cell>
          <cell r="AC285">
            <v>71.900000000000006</v>
          </cell>
          <cell r="AD285">
            <v>34.4</v>
          </cell>
          <cell r="AE285">
            <v>39.9</v>
          </cell>
          <cell r="AF285">
            <v>35.6</v>
          </cell>
          <cell r="AG285">
            <v>45.3</v>
          </cell>
          <cell r="AH285">
            <v>29.2</v>
          </cell>
          <cell r="AI285">
            <v>52.1</v>
          </cell>
          <cell r="AJ285">
            <v>57.6</v>
          </cell>
          <cell r="AK285">
            <v>63</v>
          </cell>
          <cell r="AL285">
            <v>68.5</v>
          </cell>
          <cell r="AM285" t="str">
            <v>--</v>
          </cell>
          <cell r="AN285" t="str">
            <v>--</v>
          </cell>
          <cell r="AO285" t="str">
            <v>--</v>
          </cell>
          <cell r="AP285" t="str">
            <v>--</v>
          </cell>
          <cell r="AQ285" t="str">
            <v>--</v>
          </cell>
          <cell r="AR285" t="str">
            <v>--</v>
          </cell>
          <cell r="AS285" t="str">
            <v>--</v>
          </cell>
          <cell r="AT285" t="str">
            <v>--</v>
          </cell>
          <cell r="AU285" t="str">
            <v>--</v>
          </cell>
          <cell r="AV285" t="str">
            <v>--</v>
          </cell>
          <cell r="AW285" t="str">
            <v>--</v>
          </cell>
          <cell r="AX285" t="str">
            <v>--</v>
          </cell>
          <cell r="AY285" t="str">
            <v>--</v>
          </cell>
          <cell r="AZ285" t="str">
            <v>--</v>
          </cell>
          <cell r="BA285" t="str">
            <v>--</v>
          </cell>
          <cell r="BB285" t="str">
            <v>--</v>
          </cell>
          <cell r="BC285" t="str">
            <v>--</v>
          </cell>
          <cell r="BD285" t="str">
            <v>--</v>
          </cell>
          <cell r="BE285" t="str">
            <v>--</v>
          </cell>
          <cell r="BF285" t="str">
            <v>--</v>
          </cell>
          <cell r="BG285" t="str">
            <v>--</v>
          </cell>
          <cell r="BH285" t="str">
            <v>--</v>
          </cell>
          <cell r="BI285" t="str">
            <v>--</v>
          </cell>
          <cell r="BJ285" t="str">
            <v>--</v>
          </cell>
          <cell r="BK285" t="str">
            <v>--</v>
          </cell>
          <cell r="BL285" t="str">
            <v>--</v>
          </cell>
          <cell r="BM285" t="str">
            <v>--</v>
          </cell>
          <cell r="BN285">
            <v>40.5</v>
          </cell>
          <cell r="BO285">
            <v>50.5</v>
          </cell>
          <cell r="BP285">
            <v>41.5</v>
          </cell>
          <cell r="BQ285">
            <v>51</v>
          </cell>
          <cell r="BR285">
            <v>48</v>
          </cell>
          <cell r="BS285">
            <v>60</v>
          </cell>
          <cell r="BT285">
            <v>60</v>
          </cell>
          <cell r="BU285">
            <v>60</v>
          </cell>
          <cell r="BV285">
            <v>60</v>
          </cell>
          <cell r="BW285">
            <v>38</v>
          </cell>
          <cell r="BX285">
            <v>48</v>
          </cell>
          <cell r="BY285">
            <v>30</v>
          </cell>
          <cell r="BZ285">
            <v>40</v>
          </cell>
          <cell r="CA285">
            <v>45</v>
          </cell>
          <cell r="CB285">
            <v>59.5</v>
          </cell>
          <cell r="CC285">
            <v>60</v>
          </cell>
          <cell r="CD285">
            <v>60</v>
          </cell>
          <cell r="CE285">
            <v>60</v>
          </cell>
          <cell r="CF285">
            <v>55.8</v>
          </cell>
          <cell r="CG285">
            <v>50.2</v>
          </cell>
          <cell r="CH285">
            <v>49.3</v>
          </cell>
          <cell r="CI285">
            <v>44.4</v>
          </cell>
          <cell r="CJ285">
            <v>54</v>
          </cell>
          <cell r="CK285">
            <v>48.6</v>
          </cell>
          <cell r="CL285">
            <v>43.7</v>
          </cell>
          <cell r="CM285">
            <v>39.4</v>
          </cell>
          <cell r="CN285">
            <v>35.4</v>
          </cell>
          <cell r="CO285">
            <v>57.1</v>
          </cell>
          <cell r="CP285">
            <v>51.4</v>
          </cell>
          <cell r="CQ285">
            <v>66.2</v>
          </cell>
          <cell r="CR285">
            <v>59.6</v>
          </cell>
          <cell r="CS285">
            <v>56</v>
          </cell>
          <cell r="CT285">
            <v>50.4</v>
          </cell>
          <cell r="CU285">
            <v>45.4</v>
          </cell>
          <cell r="CV285">
            <v>40.799999999999997</v>
          </cell>
          <cell r="CW285">
            <v>36.700000000000003</v>
          </cell>
          <cell r="CX285">
            <v>70.8</v>
          </cell>
          <cell r="CY285">
            <v>63.7</v>
          </cell>
          <cell r="CZ285">
            <v>69.2</v>
          </cell>
          <cell r="DA285">
            <v>62.3</v>
          </cell>
          <cell r="DB285">
            <v>77.8</v>
          </cell>
          <cell r="DC285">
            <v>62.3</v>
          </cell>
          <cell r="DD285">
            <v>56.1</v>
          </cell>
          <cell r="DE285">
            <v>50.4</v>
          </cell>
          <cell r="DF285">
            <v>45.4</v>
          </cell>
          <cell r="DG285">
            <v>0</v>
          </cell>
          <cell r="DH285">
            <v>1</v>
          </cell>
          <cell r="DI285">
            <v>0</v>
          </cell>
          <cell r="DJ285">
            <v>1</v>
          </cell>
          <cell r="DK285">
            <v>0</v>
          </cell>
          <cell r="DL285">
            <v>1</v>
          </cell>
          <cell r="DM285">
            <v>1.1000000000000001</v>
          </cell>
          <cell r="DN285">
            <v>1.2</v>
          </cell>
          <cell r="DO285">
            <v>1.3</v>
          </cell>
          <cell r="DP285">
            <v>0</v>
          </cell>
          <cell r="DQ285">
            <v>1</v>
          </cell>
          <cell r="DR285">
            <v>0</v>
          </cell>
          <cell r="DS285">
            <v>1</v>
          </cell>
          <cell r="DT285">
            <v>0</v>
          </cell>
          <cell r="DU285">
            <v>1</v>
          </cell>
          <cell r="DV285">
            <v>1.1000000000000001</v>
          </cell>
          <cell r="DW285">
            <v>1.2</v>
          </cell>
          <cell r="DX285">
            <v>1.3</v>
          </cell>
          <cell r="DY285">
            <v>0</v>
          </cell>
          <cell r="DZ285">
            <v>1</v>
          </cell>
          <cell r="EA285">
            <v>0</v>
          </cell>
          <cell r="EB285">
            <v>1</v>
          </cell>
          <cell r="EC285">
            <v>0</v>
          </cell>
          <cell r="ED285">
            <v>1</v>
          </cell>
          <cell r="EE285">
            <v>1.1000000000000001</v>
          </cell>
          <cell r="EF285">
            <v>1.2</v>
          </cell>
          <cell r="EG285">
            <v>1.3</v>
          </cell>
        </row>
        <row r="286">
          <cell r="A286" t="str">
            <v>02810025Multi-race, Non-Hisp./Lat.</v>
          </cell>
          <cell r="B286" t="str">
            <v>02810025M</v>
          </cell>
          <cell r="C286" t="str">
            <v>0281</v>
          </cell>
          <cell r="D286" t="str">
            <v>02810025</v>
          </cell>
          <cell r="E286" t="str">
            <v>Springfield</v>
          </cell>
          <cell r="F286" t="str">
            <v>Brightwood</v>
          </cell>
          <cell r="G286" t="str">
            <v>ES</v>
          </cell>
          <cell r="H286" t="str">
            <v>Springfield - Brightwood (02810025)</v>
          </cell>
          <cell r="I286" t="str">
            <v>Multi-race, Non-Hisp./Lat.</v>
          </cell>
          <cell r="J286" t="str">
            <v>02810025Multi-race, Non-Hisp./Lat.</v>
          </cell>
          <cell r="K286" t="str">
            <v>Level 4</v>
          </cell>
          <cell r="L286" t="str">
            <v>--</v>
          </cell>
          <cell r="M286" t="str">
            <v>--</v>
          </cell>
          <cell r="N286" t="str">
            <v>--</v>
          </cell>
          <cell r="O286" t="str">
            <v>--</v>
          </cell>
          <cell r="P286" t="str">
            <v>--</v>
          </cell>
          <cell r="Q286" t="str">
            <v>--</v>
          </cell>
          <cell r="R286" t="str">
            <v>--</v>
          </cell>
          <cell r="S286" t="str">
            <v>--</v>
          </cell>
          <cell r="T286" t="str">
            <v>--</v>
          </cell>
          <cell r="U286" t="str">
            <v>--</v>
          </cell>
          <cell r="V286" t="str">
            <v>--</v>
          </cell>
          <cell r="W286" t="str">
            <v>--</v>
          </cell>
          <cell r="X286" t="str">
            <v>--</v>
          </cell>
          <cell r="Y286" t="str">
            <v>--</v>
          </cell>
          <cell r="Z286" t="str">
            <v>--</v>
          </cell>
          <cell r="AA286" t="str">
            <v>--</v>
          </cell>
          <cell r="AB286" t="str">
            <v>--</v>
          </cell>
          <cell r="AC286" t="str">
            <v>--</v>
          </cell>
          <cell r="AD286" t="str">
            <v>--</v>
          </cell>
          <cell r="AE286" t="str">
            <v>--</v>
          </cell>
          <cell r="AF286" t="str">
            <v>--</v>
          </cell>
          <cell r="AG286" t="str">
            <v>--</v>
          </cell>
          <cell r="AH286" t="str">
            <v>--</v>
          </cell>
          <cell r="AI286" t="str">
            <v>--</v>
          </cell>
          <cell r="AJ286" t="str">
            <v>--</v>
          </cell>
          <cell r="AK286" t="str">
            <v>--</v>
          </cell>
          <cell r="AL286" t="str">
            <v>--</v>
          </cell>
          <cell r="AM286" t="str">
            <v>--</v>
          </cell>
          <cell r="AN286" t="str">
            <v>--</v>
          </cell>
          <cell r="AO286" t="str">
            <v>--</v>
          </cell>
          <cell r="AP286" t="str">
            <v>--</v>
          </cell>
          <cell r="AQ286" t="str">
            <v>--</v>
          </cell>
          <cell r="AR286" t="str">
            <v>--</v>
          </cell>
          <cell r="AS286" t="str">
            <v>--</v>
          </cell>
          <cell r="AT286" t="str">
            <v>--</v>
          </cell>
          <cell r="AU286" t="str">
            <v>--</v>
          </cell>
          <cell r="AV286" t="str">
            <v>--</v>
          </cell>
          <cell r="AW286" t="str">
            <v>--</v>
          </cell>
          <cell r="AX286" t="str">
            <v>--</v>
          </cell>
          <cell r="AY286" t="str">
            <v>--</v>
          </cell>
          <cell r="AZ286" t="str">
            <v>--</v>
          </cell>
          <cell r="BA286" t="str">
            <v>--</v>
          </cell>
          <cell r="BB286" t="str">
            <v>--</v>
          </cell>
          <cell r="BC286" t="str">
            <v>--</v>
          </cell>
          <cell r="BD286" t="str">
            <v>--</v>
          </cell>
          <cell r="BE286" t="str">
            <v>--</v>
          </cell>
          <cell r="BF286" t="str">
            <v>--</v>
          </cell>
          <cell r="BG286" t="str">
            <v>--</v>
          </cell>
          <cell r="BH286" t="str">
            <v>--</v>
          </cell>
          <cell r="BI286" t="str">
            <v>--</v>
          </cell>
          <cell r="BJ286" t="str">
            <v>--</v>
          </cell>
          <cell r="BK286" t="str">
            <v>--</v>
          </cell>
          <cell r="BL286" t="str">
            <v>--</v>
          </cell>
          <cell r="BM286" t="str">
            <v>--</v>
          </cell>
          <cell r="BN286" t="str">
            <v>--</v>
          </cell>
          <cell r="BO286" t="str">
            <v>--</v>
          </cell>
          <cell r="BP286" t="str">
            <v>--</v>
          </cell>
          <cell r="BQ286" t="str">
            <v>--</v>
          </cell>
          <cell r="BR286" t="str">
            <v>--</v>
          </cell>
          <cell r="BS286" t="str">
            <v>--</v>
          </cell>
          <cell r="BT286" t="str">
            <v>--</v>
          </cell>
          <cell r="BU286" t="str">
            <v>--</v>
          </cell>
          <cell r="BV286" t="str">
            <v>--</v>
          </cell>
          <cell r="BW286" t="str">
            <v>--</v>
          </cell>
          <cell r="BX286" t="str">
            <v>--</v>
          </cell>
          <cell r="BY286" t="str">
            <v>--</v>
          </cell>
          <cell r="BZ286" t="str">
            <v>--</v>
          </cell>
          <cell r="CA286" t="str">
            <v>--</v>
          </cell>
          <cell r="CB286" t="str">
            <v>--</v>
          </cell>
          <cell r="CC286" t="str">
            <v>--</v>
          </cell>
          <cell r="CD286" t="str">
            <v>--</v>
          </cell>
          <cell r="CE286" t="str">
            <v>--</v>
          </cell>
          <cell r="CF286" t="str">
            <v>--</v>
          </cell>
          <cell r="CG286" t="str">
            <v>--</v>
          </cell>
          <cell r="CH286" t="str">
            <v>--</v>
          </cell>
          <cell r="CI286" t="str">
            <v>--</v>
          </cell>
          <cell r="CJ286" t="str">
            <v>--</v>
          </cell>
          <cell r="CK286" t="str">
            <v>--</v>
          </cell>
          <cell r="CL286" t="str">
            <v>--</v>
          </cell>
          <cell r="CM286" t="str">
            <v>--</v>
          </cell>
          <cell r="CN286" t="str">
            <v>--</v>
          </cell>
          <cell r="CO286" t="str">
            <v>--</v>
          </cell>
          <cell r="CP286" t="str">
            <v>--</v>
          </cell>
          <cell r="CQ286" t="str">
            <v>--</v>
          </cell>
          <cell r="CR286" t="str">
            <v>--</v>
          </cell>
          <cell r="CS286" t="str">
            <v>--</v>
          </cell>
          <cell r="CT286" t="str">
            <v>--</v>
          </cell>
          <cell r="CU286" t="str">
            <v>--</v>
          </cell>
          <cell r="CV286" t="str">
            <v>--</v>
          </cell>
          <cell r="CW286" t="str">
            <v>--</v>
          </cell>
          <cell r="CX286" t="str">
            <v>--</v>
          </cell>
          <cell r="CY286" t="str">
            <v>--</v>
          </cell>
          <cell r="CZ286" t="str">
            <v>--</v>
          </cell>
          <cell r="DA286" t="str">
            <v>--</v>
          </cell>
          <cell r="DB286" t="str">
            <v>--</v>
          </cell>
          <cell r="DC286" t="str">
            <v>--</v>
          </cell>
          <cell r="DD286" t="str">
            <v>--</v>
          </cell>
          <cell r="DE286" t="str">
            <v>--</v>
          </cell>
          <cell r="DF286" t="str">
            <v>--</v>
          </cell>
          <cell r="DG286" t="str">
            <v>--</v>
          </cell>
          <cell r="DH286" t="str">
            <v>--</v>
          </cell>
          <cell r="DI286" t="str">
            <v>--</v>
          </cell>
          <cell r="DJ286" t="str">
            <v>--</v>
          </cell>
          <cell r="DK286" t="str">
            <v>--</v>
          </cell>
          <cell r="DL286" t="str">
            <v>--</v>
          </cell>
          <cell r="DM286" t="str">
            <v>--</v>
          </cell>
          <cell r="DN286" t="str">
            <v>--</v>
          </cell>
          <cell r="DO286" t="str">
            <v>--</v>
          </cell>
          <cell r="DP286" t="str">
            <v>--</v>
          </cell>
          <cell r="DQ286" t="str">
            <v>--</v>
          </cell>
          <cell r="DR286" t="str">
            <v>--</v>
          </cell>
          <cell r="DS286" t="str">
            <v>--</v>
          </cell>
          <cell r="DT286" t="str">
            <v>--</v>
          </cell>
          <cell r="DU286" t="str">
            <v>--</v>
          </cell>
          <cell r="DV286" t="str">
            <v>--</v>
          </cell>
          <cell r="DW286" t="str">
            <v>--</v>
          </cell>
          <cell r="DX286" t="str">
            <v>--</v>
          </cell>
          <cell r="DY286" t="str">
            <v>--</v>
          </cell>
          <cell r="DZ286" t="str">
            <v>--</v>
          </cell>
          <cell r="EA286" t="str">
            <v>--</v>
          </cell>
          <cell r="EB286" t="str">
            <v>--</v>
          </cell>
          <cell r="EC286" t="str">
            <v>--</v>
          </cell>
          <cell r="ED286" t="str">
            <v>--</v>
          </cell>
          <cell r="EE286" t="str">
            <v>--</v>
          </cell>
          <cell r="EF286" t="str">
            <v>--</v>
          </cell>
          <cell r="EG286" t="str">
            <v>--</v>
          </cell>
        </row>
        <row r="287">
          <cell r="A287" t="str">
            <v>02810025Amer. Ind. or Alaska Nat.</v>
          </cell>
          <cell r="B287" t="str">
            <v>02810025N</v>
          </cell>
          <cell r="C287" t="str">
            <v>0281</v>
          </cell>
          <cell r="D287" t="str">
            <v>02810025</v>
          </cell>
          <cell r="E287" t="str">
            <v>Springfield</v>
          </cell>
          <cell r="F287" t="str">
            <v>Brightwood</v>
          </cell>
          <cell r="G287" t="str">
            <v>ES</v>
          </cell>
          <cell r="H287" t="str">
            <v>Springfield - Brightwood (02810025)</v>
          </cell>
          <cell r="I287" t="str">
            <v>Amer. Ind. or Alaska Nat.</v>
          </cell>
          <cell r="J287" t="str">
            <v>02810025Amer. Ind. or Alaska Nat.</v>
          </cell>
          <cell r="K287" t="str">
            <v>--</v>
          </cell>
          <cell r="L287" t="str">
            <v>--</v>
          </cell>
          <cell r="M287" t="str">
            <v>--</v>
          </cell>
          <cell r="N287" t="str">
            <v>--</v>
          </cell>
          <cell r="O287" t="str">
            <v>--</v>
          </cell>
          <cell r="P287" t="str">
            <v>--</v>
          </cell>
          <cell r="Q287" t="str">
            <v>--</v>
          </cell>
          <cell r="R287" t="str">
            <v>--</v>
          </cell>
          <cell r="S287" t="str">
            <v>--</v>
          </cell>
          <cell r="T287" t="str">
            <v>--</v>
          </cell>
          <cell r="U287" t="str">
            <v>--</v>
          </cell>
          <cell r="V287" t="str">
            <v>--</v>
          </cell>
          <cell r="W287" t="str">
            <v>--</v>
          </cell>
          <cell r="X287" t="str">
            <v>--</v>
          </cell>
          <cell r="Y287" t="str">
            <v>--</v>
          </cell>
          <cell r="Z287" t="str">
            <v>--</v>
          </cell>
          <cell r="AA287" t="str">
            <v>--</v>
          </cell>
          <cell r="AB287" t="str">
            <v>--</v>
          </cell>
          <cell r="AC287" t="str">
            <v>--</v>
          </cell>
          <cell r="AD287" t="str">
            <v>--</v>
          </cell>
          <cell r="AE287" t="str">
            <v>--</v>
          </cell>
          <cell r="AF287" t="str">
            <v>--</v>
          </cell>
          <cell r="AG287" t="str">
            <v>--</v>
          </cell>
          <cell r="AH287" t="str">
            <v>--</v>
          </cell>
          <cell r="AI287" t="str">
            <v>--</v>
          </cell>
          <cell r="AJ287" t="str">
            <v>--</v>
          </cell>
          <cell r="AK287" t="str">
            <v>--</v>
          </cell>
          <cell r="AL287" t="str">
            <v>--</v>
          </cell>
          <cell r="AM287" t="str">
            <v>--</v>
          </cell>
          <cell r="AN287" t="str">
            <v>--</v>
          </cell>
          <cell r="AO287" t="str">
            <v>--</v>
          </cell>
          <cell r="AP287" t="str">
            <v>--</v>
          </cell>
          <cell r="AQ287" t="str">
            <v>--</v>
          </cell>
          <cell r="AR287" t="str">
            <v>--</v>
          </cell>
          <cell r="AS287" t="str">
            <v>--</v>
          </cell>
          <cell r="AT287" t="str">
            <v>--</v>
          </cell>
          <cell r="AU287" t="str">
            <v>--</v>
          </cell>
          <cell r="AV287" t="str">
            <v>--</v>
          </cell>
          <cell r="AW287" t="str">
            <v>--</v>
          </cell>
          <cell r="AX287" t="str">
            <v>--</v>
          </cell>
          <cell r="AY287" t="str">
            <v>--</v>
          </cell>
          <cell r="AZ287" t="str">
            <v>--</v>
          </cell>
          <cell r="BA287" t="str">
            <v>--</v>
          </cell>
          <cell r="BB287" t="str">
            <v>--</v>
          </cell>
          <cell r="BC287" t="str">
            <v>--</v>
          </cell>
          <cell r="BD287" t="str">
            <v>--</v>
          </cell>
          <cell r="BE287" t="str">
            <v>--</v>
          </cell>
          <cell r="BF287" t="str">
            <v>--</v>
          </cell>
          <cell r="BG287" t="str">
            <v>--</v>
          </cell>
          <cell r="BH287" t="str">
            <v>--</v>
          </cell>
          <cell r="BI287" t="str">
            <v>--</v>
          </cell>
          <cell r="BJ287" t="str">
            <v>--</v>
          </cell>
          <cell r="BK287" t="str">
            <v>--</v>
          </cell>
          <cell r="BL287" t="str">
            <v>--</v>
          </cell>
          <cell r="BM287" t="str">
            <v>--</v>
          </cell>
          <cell r="BN287" t="str">
            <v>--</v>
          </cell>
          <cell r="BO287" t="str">
            <v>--</v>
          </cell>
          <cell r="BP287" t="str">
            <v>--</v>
          </cell>
          <cell r="BQ287" t="str">
            <v>--</v>
          </cell>
          <cell r="BR287" t="str">
            <v>--</v>
          </cell>
          <cell r="BS287" t="str">
            <v>--</v>
          </cell>
          <cell r="BT287" t="str">
            <v>--</v>
          </cell>
          <cell r="BU287" t="str">
            <v>--</v>
          </cell>
          <cell r="BV287" t="str">
            <v>--</v>
          </cell>
          <cell r="BW287" t="str">
            <v>--</v>
          </cell>
          <cell r="BX287" t="str">
            <v>--</v>
          </cell>
          <cell r="BY287" t="str">
            <v>--</v>
          </cell>
          <cell r="BZ287" t="str">
            <v>--</v>
          </cell>
          <cell r="CA287" t="str">
            <v>--</v>
          </cell>
          <cell r="CB287" t="str">
            <v>--</v>
          </cell>
          <cell r="CC287" t="str">
            <v>--</v>
          </cell>
          <cell r="CD287" t="str">
            <v>--</v>
          </cell>
          <cell r="CE287" t="str">
            <v>--</v>
          </cell>
          <cell r="CF287" t="str">
            <v>--</v>
          </cell>
          <cell r="CG287" t="str">
            <v>--</v>
          </cell>
          <cell r="CH287" t="str">
            <v>--</v>
          </cell>
          <cell r="CI287" t="str">
            <v>--</v>
          </cell>
          <cell r="CJ287" t="str">
            <v>--</v>
          </cell>
          <cell r="CK287" t="str">
            <v>--</v>
          </cell>
          <cell r="CL287" t="str">
            <v>--</v>
          </cell>
          <cell r="CM287" t="str">
            <v>--</v>
          </cell>
          <cell r="CN287" t="str">
            <v>--</v>
          </cell>
          <cell r="CO287" t="str">
            <v>--</v>
          </cell>
          <cell r="CP287" t="str">
            <v>--</v>
          </cell>
          <cell r="CQ287" t="str">
            <v>--</v>
          </cell>
          <cell r="CR287" t="str">
            <v>--</v>
          </cell>
          <cell r="CS287" t="str">
            <v>--</v>
          </cell>
          <cell r="CT287" t="str">
            <v>--</v>
          </cell>
          <cell r="CU287" t="str">
            <v>--</v>
          </cell>
          <cell r="CV287" t="str">
            <v>--</v>
          </cell>
          <cell r="CW287" t="str">
            <v>--</v>
          </cell>
          <cell r="CX287" t="str">
            <v>--</v>
          </cell>
          <cell r="CY287" t="str">
            <v>--</v>
          </cell>
          <cell r="CZ287" t="str">
            <v>--</v>
          </cell>
          <cell r="DA287" t="str">
            <v>--</v>
          </cell>
          <cell r="DB287" t="str">
            <v>--</v>
          </cell>
          <cell r="DC287" t="str">
            <v>--</v>
          </cell>
          <cell r="DD287" t="str">
            <v>--</v>
          </cell>
          <cell r="DE287" t="str">
            <v>--</v>
          </cell>
          <cell r="DF287" t="str">
            <v>--</v>
          </cell>
          <cell r="DG287" t="str">
            <v>--</v>
          </cell>
          <cell r="DH287" t="str">
            <v>--</v>
          </cell>
          <cell r="DI287" t="str">
            <v>--</v>
          </cell>
          <cell r="DJ287" t="str">
            <v>--</v>
          </cell>
          <cell r="DK287" t="str">
            <v>--</v>
          </cell>
          <cell r="DL287" t="str">
            <v>--</v>
          </cell>
          <cell r="DM287" t="str">
            <v>--</v>
          </cell>
          <cell r="DN287" t="str">
            <v>--</v>
          </cell>
          <cell r="DO287" t="str">
            <v>--</v>
          </cell>
          <cell r="DP287" t="str">
            <v>--</v>
          </cell>
          <cell r="DQ287" t="str">
            <v>--</v>
          </cell>
          <cell r="DR287" t="str">
            <v>--</v>
          </cell>
          <cell r="DS287" t="str">
            <v>--</v>
          </cell>
          <cell r="DT287" t="str">
            <v>--</v>
          </cell>
          <cell r="DU287" t="str">
            <v>--</v>
          </cell>
          <cell r="DV287" t="str">
            <v>--</v>
          </cell>
          <cell r="DW287" t="str">
            <v>--</v>
          </cell>
          <cell r="DX287" t="str">
            <v>--</v>
          </cell>
          <cell r="DY287" t="str">
            <v>--</v>
          </cell>
          <cell r="DZ287" t="str">
            <v>--</v>
          </cell>
          <cell r="EA287" t="str">
            <v>--</v>
          </cell>
          <cell r="EB287" t="str">
            <v>--</v>
          </cell>
          <cell r="EC287" t="str">
            <v>--</v>
          </cell>
          <cell r="ED287" t="str">
            <v>--</v>
          </cell>
          <cell r="EE287" t="str">
            <v>--</v>
          </cell>
          <cell r="EF287" t="str">
            <v>--</v>
          </cell>
          <cell r="EG287" t="str">
            <v>--</v>
          </cell>
        </row>
        <row r="288">
          <cell r="A288" t="str">
            <v>02810025Nat. Haw. or Pacif. Isl.</v>
          </cell>
          <cell r="B288" t="str">
            <v>02810025P</v>
          </cell>
          <cell r="C288" t="str">
            <v>0281</v>
          </cell>
          <cell r="D288" t="str">
            <v>02810025</v>
          </cell>
          <cell r="E288" t="str">
            <v>Springfield</v>
          </cell>
          <cell r="F288" t="str">
            <v>Brightwood</v>
          </cell>
          <cell r="G288" t="str">
            <v>ES</v>
          </cell>
          <cell r="H288" t="str">
            <v>Springfield - Brightwood (02810025)</v>
          </cell>
          <cell r="I288" t="str">
            <v>Nat. Haw. or Pacif. Isl.</v>
          </cell>
          <cell r="J288" t="str">
            <v>02810025Nat. Haw. or Pacif. Isl.</v>
          </cell>
          <cell r="K288" t="str">
            <v>Level 4</v>
          </cell>
          <cell r="L288" t="str">
            <v>--</v>
          </cell>
          <cell r="M288" t="str">
            <v>--</v>
          </cell>
          <cell r="N288" t="str">
            <v>--</v>
          </cell>
          <cell r="O288" t="str">
            <v>--</v>
          </cell>
          <cell r="P288" t="str">
            <v>--</v>
          </cell>
          <cell r="Q288" t="str">
            <v>--</v>
          </cell>
          <cell r="R288" t="str">
            <v>--</v>
          </cell>
          <cell r="S288" t="str">
            <v>--</v>
          </cell>
          <cell r="T288" t="str">
            <v>--</v>
          </cell>
          <cell r="U288" t="str">
            <v>--</v>
          </cell>
          <cell r="V288" t="str">
            <v>--</v>
          </cell>
          <cell r="W288" t="str">
            <v>--</v>
          </cell>
          <cell r="X288" t="str">
            <v>--</v>
          </cell>
          <cell r="Y288" t="str">
            <v>--</v>
          </cell>
          <cell r="Z288" t="str">
            <v>--</v>
          </cell>
          <cell r="AA288" t="str">
            <v>--</v>
          </cell>
          <cell r="AB288" t="str">
            <v>--</v>
          </cell>
          <cell r="AC288" t="str">
            <v>--</v>
          </cell>
          <cell r="AD288" t="str">
            <v>--</v>
          </cell>
          <cell r="AE288" t="str">
            <v>--</v>
          </cell>
          <cell r="AF288" t="str">
            <v>--</v>
          </cell>
          <cell r="AG288" t="str">
            <v>--</v>
          </cell>
          <cell r="AH288" t="str">
            <v>--</v>
          </cell>
          <cell r="AI288" t="str">
            <v>--</v>
          </cell>
          <cell r="AJ288" t="str">
            <v>--</v>
          </cell>
          <cell r="AK288" t="str">
            <v>--</v>
          </cell>
          <cell r="AL288" t="str">
            <v>--</v>
          </cell>
          <cell r="AM288" t="str">
            <v>--</v>
          </cell>
          <cell r="AN288" t="str">
            <v>--</v>
          </cell>
          <cell r="AO288" t="str">
            <v>--</v>
          </cell>
          <cell r="AP288" t="str">
            <v>--</v>
          </cell>
          <cell r="AQ288" t="str">
            <v>--</v>
          </cell>
          <cell r="AR288" t="str">
            <v>--</v>
          </cell>
          <cell r="AS288" t="str">
            <v>--</v>
          </cell>
          <cell r="AT288" t="str">
            <v>--</v>
          </cell>
          <cell r="AU288" t="str">
            <v>--</v>
          </cell>
          <cell r="AV288" t="str">
            <v>--</v>
          </cell>
          <cell r="AW288" t="str">
            <v>--</v>
          </cell>
          <cell r="AX288" t="str">
            <v>--</v>
          </cell>
          <cell r="AY288" t="str">
            <v>--</v>
          </cell>
          <cell r="AZ288" t="str">
            <v>--</v>
          </cell>
          <cell r="BA288" t="str">
            <v>--</v>
          </cell>
          <cell r="BB288" t="str">
            <v>--</v>
          </cell>
          <cell r="BC288" t="str">
            <v>--</v>
          </cell>
          <cell r="BD288" t="str">
            <v>--</v>
          </cell>
          <cell r="BE288" t="str">
            <v>--</v>
          </cell>
          <cell r="BF288" t="str">
            <v>--</v>
          </cell>
          <cell r="BG288" t="str">
            <v>--</v>
          </cell>
          <cell r="BH288" t="str">
            <v>--</v>
          </cell>
          <cell r="BI288" t="str">
            <v>--</v>
          </cell>
          <cell r="BJ288" t="str">
            <v>--</v>
          </cell>
          <cell r="BK288" t="str">
            <v>--</v>
          </cell>
          <cell r="BL288" t="str">
            <v>--</v>
          </cell>
          <cell r="BM288" t="str">
            <v>--</v>
          </cell>
          <cell r="BN288" t="str">
            <v>--</v>
          </cell>
          <cell r="BO288" t="str">
            <v>--</v>
          </cell>
          <cell r="BP288" t="str">
            <v>--</v>
          </cell>
          <cell r="BQ288" t="str">
            <v>--</v>
          </cell>
          <cell r="BR288" t="str">
            <v>--</v>
          </cell>
          <cell r="BS288" t="str">
            <v>--</v>
          </cell>
          <cell r="BT288" t="str">
            <v>--</v>
          </cell>
          <cell r="BU288" t="str">
            <v>--</v>
          </cell>
          <cell r="BV288" t="str">
            <v>--</v>
          </cell>
          <cell r="BW288" t="str">
            <v>--</v>
          </cell>
          <cell r="BX288" t="str">
            <v>--</v>
          </cell>
          <cell r="BY288" t="str">
            <v>--</v>
          </cell>
          <cell r="BZ288" t="str">
            <v>--</v>
          </cell>
          <cell r="CA288" t="str">
            <v>--</v>
          </cell>
          <cell r="CB288" t="str">
            <v>--</v>
          </cell>
          <cell r="CC288" t="str">
            <v>--</v>
          </cell>
          <cell r="CD288" t="str">
            <v>--</v>
          </cell>
          <cell r="CE288" t="str">
            <v>--</v>
          </cell>
          <cell r="CF288" t="str">
            <v>--</v>
          </cell>
          <cell r="CG288" t="str">
            <v>--</v>
          </cell>
          <cell r="CH288" t="str">
            <v>--</v>
          </cell>
          <cell r="CI288" t="str">
            <v>--</v>
          </cell>
          <cell r="CJ288" t="str">
            <v>--</v>
          </cell>
          <cell r="CK288" t="str">
            <v>--</v>
          </cell>
          <cell r="CL288" t="str">
            <v>--</v>
          </cell>
          <cell r="CM288" t="str">
            <v>--</v>
          </cell>
          <cell r="CN288" t="str">
            <v>--</v>
          </cell>
          <cell r="CO288" t="str">
            <v>--</v>
          </cell>
          <cell r="CP288" t="str">
            <v>--</v>
          </cell>
          <cell r="CQ288" t="str">
            <v>--</v>
          </cell>
          <cell r="CR288" t="str">
            <v>--</v>
          </cell>
          <cell r="CS288" t="str">
            <v>--</v>
          </cell>
          <cell r="CT288" t="str">
            <v>--</v>
          </cell>
          <cell r="CU288" t="str">
            <v>--</v>
          </cell>
          <cell r="CV288" t="str">
            <v>--</v>
          </cell>
          <cell r="CW288" t="str">
            <v>--</v>
          </cell>
          <cell r="CX288" t="str">
            <v>--</v>
          </cell>
          <cell r="CY288" t="str">
            <v>--</v>
          </cell>
          <cell r="CZ288" t="str">
            <v>--</v>
          </cell>
          <cell r="DA288" t="str">
            <v>--</v>
          </cell>
          <cell r="DB288" t="str">
            <v>--</v>
          </cell>
          <cell r="DC288" t="str">
            <v>--</v>
          </cell>
          <cell r="DD288" t="str">
            <v>--</v>
          </cell>
          <cell r="DE288" t="str">
            <v>--</v>
          </cell>
          <cell r="DF288" t="str">
            <v>--</v>
          </cell>
          <cell r="DG288" t="str">
            <v>--</v>
          </cell>
          <cell r="DH288" t="str">
            <v>--</v>
          </cell>
          <cell r="DI288" t="str">
            <v>--</v>
          </cell>
          <cell r="DJ288" t="str">
            <v>--</v>
          </cell>
          <cell r="DK288" t="str">
            <v>--</v>
          </cell>
          <cell r="DL288" t="str">
            <v>--</v>
          </cell>
          <cell r="DM288" t="str">
            <v>--</v>
          </cell>
          <cell r="DN288" t="str">
            <v>--</v>
          </cell>
          <cell r="DO288" t="str">
            <v>--</v>
          </cell>
          <cell r="DP288" t="str">
            <v>--</v>
          </cell>
          <cell r="DQ288" t="str">
            <v>--</v>
          </cell>
          <cell r="DR288" t="str">
            <v>--</v>
          </cell>
          <cell r="DS288" t="str">
            <v>--</v>
          </cell>
          <cell r="DT288" t="str">
            <v>--</v>
          </cell>
          <cell r="DU288" t="str">
            <v>--</v>
          </cell>
          <cell r="DV288" t="str">
            <v>--</v>
          </cell>
          <cell r="DW288" t="str">
            <v>--</v>
          </cell>
          <cell r="DX288" t="str">
            <v>--</v>
          </cell>
          <cell r="DY288" t="str">
            <v>--</v>
          </cell>
          <cell r="DZ288" t="str">
            <v>--</v>
          </cell>
          <cell r="EA288" t="str">
            <v>--</v>
          </cell>
          <cell r="EB288" t="str">
            <v>--</v>
          </cell>
          <cell r="EC288" t="str">
            <v>--</v>
          </cell>
          <cell r="ED288" t="str">
            <v>--</v>
          </cell>
          <cell r="EE288" t="str">
            <v>--</v>
          </cell>
          <cell r="EF288" t="str">
            <v>--</v>
          </cell>
          <cell r="EG288" t="str">
            <v>--</v>
          </cell>
        </row>
        <row r="289">
          <cell r="A289" t="str">
            <v>02810025High needs</v>
          </cell>
          <cell r="B289" t="str">
            <v>02810025S</v>
          </cell>
          <cell r="C289" t="str">
            <v>0281</v>
          </cell>
          <cell r="D289" t="str">
            <v>02810025</v>
          </cell>
          <cell r="E289" t="str">
            <v>Springfield</v>
          </cell>
          <cell r="F289" t="str">
            <v>Brightwood</v>
          </cell>
          <cell r="G289" t="str">
            <v>ES</v>
          </cell>
          <cell r="H289" t="str">
            <v>Springfield - Brightwood (02810025)</v>
          </cell>
          <cell r="I289" t="str">
            <v>High needs</v>
          </cell>
          <cell r="J289" t="str">
            <v>02810025High needs</v>
          </cell>
          <cell r="K289" t="str">
            <v>Level 4</v>
          </cell>
          <cell r="L289">
            <v>50.3</v>
          </cell>
          <cell r="M289">
            <v>54.4</v>
          </cell>
          <cell r="N289">
            <v>55.2</v>
          </cell>
          <cell r="O289">
            <v>58.6</v>
          </cell>
          <cell r="P289">
            <v>57</v>
          </cell>
          <cell r="Q289">
            <v>62.7</v>
          </cell>
          <cell r="R289">
            <v>66.900000000000006</v>
          </cell>
          <cell r="S289">
            <v>71</v>
          </cell>
          <cell r="T289">
            <v>75.2</v>
          </cell>
          <cell r="U289">
            <v>47.9</v>
          </cell>
          <cell r="V289">
            <v>52.2</v>
          </cell>
          <cell r="W289">
            <v>43.5</v>
          </cell>
          <cell r="X289">
            <v>56.6</v>
          </cell>
          <cell r="Y289">
            <v>55.3</v>
          </cell>
          <cell r="Z289">
            <v>60.9</v>
          </cell>
          <cell r="AA289">
            <v>65.3</v>
          </cell>
          <cell r="AB289">
            <v>69.599999999999994</v>
          </cell>
          <cell r="AC289">
            <v>74</v>
          </cell>
          <cell r="AD289">
            <v>42</v>
          </cell>
          <cell r="AE289">
            <v>46.8</v>
          </cell>
          <cell r="AF289">
            <v>41.7</v>
          </cell>
          <cell r="AG289">
            <v>51.7</v>
          </cell>
          <cell r="AH289">
            <v>54.5</v>
          </cell>
          <cell r="AI289">
            <v>56.5</v>
          </cell>
          <cell r="AJ289">
            <v>61.3</v>
          </cell>
          <cell r="AK289">
            <v>66.2</v>
          </cell>
          <cell r="AL289">
            <v>71</v>
          </cell>
          <cell r="AM289" t="str">
            <v>--</v>
          </cell>
          <cell r="AN289" t="str">
            <v>--</v>
          </cell>
          <cell r="AO289" t="str">
            <v>--</v>
          </cell>
          <cell r="AP289" t="str">
            <v>--</v>
          </cell>
          <cell r="AQ289" t="str">
            <v>--</v>
          </cell>
          <cell r="AR289" t="str">
            <v>--</v>
          </cell>
          <cell r="AS289" t="str">
            <v>--</v>
          </cell>
          <cell r="AT289" t="str">
            <v>--</v>
          </cell>
          <cell r="AU289" t="str">
            <v>--</v>
          </cell>
          <cell r="AV289" t="str">
            <v>--</v>
          </cell>
          <cell r="AW289" t="str">
            <v>--</v>
          </cell>
          <cell r="AX289" t="str">
            <v>--</v>
          </cell>
          <cell r="AY289" t="str">
            <v>--</v>
          </cell>
          <cell r="AZ289" t="str">
            <v>--</v>
          </cell>
          <cell r="BA289" t="str">
            <v>--</v>
          </cell>
          <cell r="BB289" t="str">
            <v>--</v>
          </cell>
          <cell r="BC289" t="str">
            <v>--</v>
          </cell>
          <cell r="BD289" t="str">
            <v>--</v>
          </cell>
          <cell r="BE289" t="str">
            <v>--</v>
          </cell>
          <cell r="BF289" t="str">
            <v>--</v>
          </cell>
          <cell r="BG289" t="str">
            <v>--</v>
          </cell>
          <cell r="BH289" t="str">
            <v>--</v>
          </cell>
          <cell r="BI289" t="str">
            <v>--</v>
          </cell>
          <cell r="BJ289" t="str">
            <v>--</v>
          </cell>
          <cell r="BK289" t="str">
            <v>--</v>
          </cell>
          <cell r="BL289" t="str">
            <v>--</v>
          </cell>
          <cell r="BM289" t="str">
            <v>--</v>
          </cell>
          <cell r="BN289">
            <v>30</v>
          </cell>
          <cell r="BO289">
            <v>40</v>
          </cell>
          <cell r="BP289">
            <v>45</v>
          </cell>
          <cell r="BQ289">
            <v>51</v>
          </cell>
          <cell r="BR289">
            <v>53</v>
          </cell>
          <cell r="BS289">
            <v>51</v>
          </cell>
          <cell r="BT289">
            <v>51</v>
          </cell>
          <cell r="BU289">
            <v>51</v>
          </cell>
          <cell r="BV289">
            <v>51</v>
          </cell>
          <cell r="BW289">
            <v>32</v>
          </cell>
          <cell r="BX289">
            <v>42</v>
          </cell>
          <cell r="BY289">
            <v>34</v>
          </cell>
          <cell r="BZ289">
            <v>44</v>
          </cell>
          <cell r="CA289">
            <v>49</v>
          </cell>
          <cell r="CB289">
            <v>51</v>
          </cell>
          <cell r="CC289">
            <v>51</v>
          </cell>
          <cell r="CD289">
            <v>51</v>
          </cell>
          <cell r="CE289">
            <v>51</v>
          </cell>
          <cell r="CF289">
            <v>40.200000000000003</v>
          </cell>
          <cell r="CG289">
            <v>36.200000000000003</v>
          </cell>
          <cell r="CH289">
            <v>30.5</v>
          </cell>
          <cell r="CI289">
            <v>27.5</v>
          </cell>
          <cell r="CJ289">
            <v>33.299999999999997</v>
          </cell>
          <cell r="CK289">
            <v>30</v>
          </cell>
          <cell r="CL289">
            <v>27</v>
          </cell>
          <cell r="CM289">
            <v>24.3</v>
          </cell>
          <cell r="CN289">
            <v>21.8</v>
          </cell>
          <cell r="CO289">
            <v>46.4</v>
          </cell>
          <cell r="CP289">
            <v>41.8</v>
          </cell>
          <cell r="CQ289">
            <v>50.9</v>
          </cell>
          <cell r="CR289">
            <v>45.8</v>
          </cell>
          <cell r="CS289">
            <v>38.799999999999997</v>
          </cell>
          <cell r="CT289">
            <v>34.9</v>
          </cell>
          <cell r="CU289">
            <v>31.4</v>
          </cell>
          <cell r="CV289">
            <v>28.3</v>
          </cell>
          <cell r="CW289">
            <v>25.5</v>
          </cell>
          <cell r="CX289">
            <v>56</v>
          </cell>
          <cell r="CY289">
            <v>50.4</v>
          </cell>
          <cell r="CZ289">
            <v>54.4</v>
          </cell>
          <cell r="DA289">
            <v>49</v>
          </cell>
          <cell r="DB289">
            <v>36</v>
          </cell>
          <cell r="DC289">
            <v>32.4</v>
          </cell>
          <cell r="DD289">
            <v>29.2</v>
          </cell>
          <cell r="DE289">
            <v>26.2</v>
          </cell>
          <cell r="DF289">
            <v>23.6</v>
          </cell>
          <cell r="DG289">
            <v>0</v>
          </cell>
          <cell r="DH289">
            <v>1</v>
          </cell>
          <cell r="DI289">
            <v>0.6</v>
          </cell>
          <cell r="DJ289">
            <v>0.7</v>
          </cell>
          <cell r="DK289">
            <v>0.7</v>
          </cell>
          <cell r="DL289">
            <v>0.8</v>
          </cell>
          <cell r="DM289">
            <v>0.8</v>
          </cell>
          <cell r="DN289">
            <v>0.9</v>
          </cell>
          <cell r="DO289">
            <v>1</v>
          </cell>
          <cell r="DP289">
            <v>0.6</v>
          </cell>
          <cell r="DQ289">
            <v>0.7</v>
          </cell>
          <cell r="DR289">
            <v>1.2</v>
          </cell>
          <cell r="DS289">
            <v>1.3</v>
          </cell>
          <cell r="DT289">
            <v>4.0999999999999996</v>
          </cell>
          <cell r="DU289">
            <v>4.5</v>
          </cell>
          <cell r="DV289">
            <v>5</v>
          </cell>
          <cell r="DW289">
            <v>5.5</v>
          </cell>
          <cell r="DX289">
            <v>6</v>
          </cell>
          <cell r="DY289">
            <v>0</v>
          </cell>
          <cell r="DZ289">
            <v>1</v>
          </cell>
          <cell r="EA289">
            <v>0</v>
          </cell>
          <cell r="EB289">
            <v>1</v>
          </cell>
          <cell r="EC289">
            <v>0</v>
          </cell>
          <cell r="ED289">
            <v>1</v>
          </cell>
          <cell r="EE289">
            <v>1.1000000000000001</v>
          </cell>
          <cell r="EF289">
            <v>1.2</v>
          </cell>
          <cell r="EG289">
            <v>1.3</v>
          </cell>
        </row>
        <row r="290">
          <cell r="A290" t="str">
            <v>02810025All students</v>
          </cell>
          <cell r="B290" t="str">
            <v>02810025T</v>
          </cell>
          <cell r="C290" t="str">
            <v>0281</v>
          </cell>
          <cell r="D290" t="str">
            <v>02810025</v>
          </cell>
          <cell r="E290" t="str">
            <v>Springfield</v>
          </cell>
          <cell r="F290" t="str">
            <v>Brightwood</v>
          </cell>
          <cell r="G290" t="str">
            <v>ES</v>
          </cell>
          <cell r="H290" t="str">
            <v>Springfield - Brightwood (02810025)</v>
          </cell>
          <cell r="I290" t="str">
            <v>All students</v>
          </cell>
          <cell r="J290" t="str">
            <v>02810025All students</v>
          </cell>
          <cell r="K290" t="str">
            <v>Level 4</v>
          </cell>
          <cell r="L290">
            <v>50.9</v>
          </cell>
          <cell r="M290">
            <v>55</v>
          </cell>
          <cell r="N290">
            <v>55.4</v>
          </cell>
          <cell r="O290">
            <v>59.1</v>
          </cell>
          <cell r="P290">
            <v>56.8</v>
          </cell>
          <cell r="Q290">
            <v>63.2</v>
          </cell>
          <cell r="R290">
            <v>67.3</v>
          </cell>
          <cell r="S290">
            <v>71.400000000000006</v>
          </cell>
          <cell r="T290">
            <v>75.5</v>
          </cell>
          <cell r="U290">
            <v>48.4</v>
          </cell>
          <cell r="V290">
            <v>52.7</v>
          </cell>
          <cell r="W290">
            <v>44.1</v>
          </cell>
          <cell r="X290">
            <v>57</v>
          </cell>
          <cell r="Y290">
            <v>55.2</v>
          </cell>
          <cell r="Z290">
            <v>61.3</v>
          </cell>
          <cell r="AA290">
            <v>65.599999999999994</v>
          </cell>
          <cell r="AB290">
            <v>69.900000000000006</v>
          </cell>
          <cell r="AC290">
            <v>74.2</v>
          </cell>
          <cell r="AD290">
            <v>41.7</v>
          </cell>
          <cell r="AE290">
            <v>46.6</v>
          </cell>
          <cell r="AF290">
            <v>42.1</v>
          </cell>
          <cell r="AG290">
            <v>51.4</v>
          </cell>
          <cell r="AH290">
            <v>53.9</v>
          </cell>
          <cell r="AI290">
            <v>56.3</v>
          </cell>
          <cell r="AJ290">
            <v>61.1</v>
          </cell>
          <cell r="AK290">
            <v>66</v>
          </cell>
          <cell r="AL290">
            <v>70.900000000000006</v>
          </cell>
          <cell r="AM290" t="str">
            <v>--</v>
          </cell>
          <cell r="AN290" t="str">
            <v>--</v>
          </cell>
          <cell r="AO290" t="str">
            <v>--</v>
          </cell>
          <cell r="AP290" t="str">
            <v>--</v>
          </cell>
          <cell r="AQ290" t="str">
            <v>--</v>
          </cell>
          <cell r="AR290" t="str">
            <v>--</v>
          </cell>
          <cell r="AS290" t="str">
            <v>--</v>
          </cell>
          <cell r="AT290" t="str">
            <v>--</v>
          </cell>
          <cell r="AU290" t="str">
            <v>--</v>
          </cell>
          <cell r="AV290" t="str">
            <v>--</v>
          </cell>
          <cell r="AW290" t="str">
            <v>--</v>
          </cell>
          <cell r="AX290" t="str">
            <v>--</v>
          </cell>
          <cell r="AY290" t="str">
            <v>--</v>
          </cell>
          <cell r="AZ290" t="str">
            <v>--</v>
          </cell>
          <cell r="BA290" t="str">
            <v>--</v>
          </cell>
          <cell r="BB290" t="str">
            <v>--</v>
          </cell>
          <cell r="BC290" t="str">
            <v>--</v>
          </cell>
          <cell r="BD290" t="str">
            <v>--</v>
          </cell>
          <cell r="BE290" t="str">
            <v>--</v>
          </cell>
          <cell r="BF290" t="str">
            <v>--</v>
          </cell>
          <cell r="BG290" t="str">
            <v>--</v>
          </cell>
          <cell r="BH290" t="str">
            <v>--</v>
          </cell>
          <cell r="BI290" t="str">
            <v>--</v>
          </cell>
          <cell r="BJ290" t="str">
            <v>--</v>
          </cell>
          <cell r="BK290" t="str">
            <v>--</v>
          </cell>
          <cell r="BL290" t="str">
            <v>--</v>
          </cell>
          <cell r="BM290" t="str">
            <v>--</v>
          </cell>
          <cell r="BN290">
            <v>30</v>
          </cell>
          <cell r="BO290">
            <v>40</v>
          </cell>
          <cell r="BP290">
            <v>43.5</v>
          </cell>
          <cell r="BQ290">
            <v>51</v>
          </cell>
          <cell r="BR290">
            <v>52</v>
          </cell>
          <cell r="BS290">
            <v>51</v>
          </cell>
          <cell r="BT290">
            <v>51</v>
          </cell>
          <cell r="BU290">
            <v>51</v>
          </cell>
          <cell r="BV290">
            <v>51</v>
          </cell>
          <cell r="BW290">
            <v>32</v>
          </cell>
          <cell r="BX290">
            <v>42</v>
          </cell>
          <cell r="BY290">
            <v>34</v>
          </cell>
          <cell r="BZ290">
            <v>44</v>
          </cell>
          <cell r="CA290">
            <v>49</v>
          </cell>
          <cell r="CB290">
            <v>51</v>
          </cell>
          <cell r="CC290">
            <v>51</v>
          </cell>
          <cell r="CD290">
            <v>51</v>
          </cell>
          <cell r="CE290">
            <v>51</v>
          </cell>
          <cell r="CF290">
            <v>39.200000000000003</v>
          </cell>
          <cell r="CG290">
            <v>35.299999999999997</v>
          </cell>
          <cell r="CH290">
            <v>30.6</v>
          </cell>
          <cell r="CI290">
            <v>27.5</v>
          </cell>
          <cell r="CJ290">
            <v>33.799999999999997</v>
          </cell>
          <cell r="CK290">
            <v>30.4</v>
          </cell>
          <cell r="CL290">
            <v>27.4</v>
          </cell>
          <cell r="CM290">
            <v>24.6</v>
          </cell>
          <cell r="CN290">
            <v>22.2</v>
          </cell>
          <cell r="CO290">
            <v>46.2</v>
          </cell>
          <cell r="CP290">
            <v>41.6</v>
          </cell>
          <cell r="CQ290">
            <v>49.7</v>
          </cell>
          <cell r="CR290">
            <v>44.7</v>
          </cell>
          <cell r="CS290">
            <v>38.5</v>
          </cell>
          <cell r="CT290">
            <v>34.700000000000003</v>
          </cell>
          <cell r="CU290">
            <v>31.2</v>
          </cell>
          <cell r="CV290">
            <v>28.1</v>
          </cell>
          <cell r="CW290">
            <v>25.3</v>
          </cell>
          <cell r="CX290">
            <v>56.9</v>
          </cell>
          <cell r="CY290">
            <v>51.2</v>
          </cell>
          <cell r="CZ290">
            <v>53.3</v>
          </cell>
          <cell r="DA290">
            <v>48</v>
          </cell>
          <cell r="DB290">
            <v>37.299999999999997</v>
          </cell>
          <cell r="DC290">
            <v>33.6</v>
          </cell>
          <cell r="DD290">
            <v>30.2</v>
          </cell>
          <cell r="DE290">
            <v>27.2</v>
          </cell>
          <cell r="DF290">
            <v>24.5</v>
          </cell>
          <cell r="DG290">
            <v>0</v>
          </cell>
          <cell r="DH290">
            <v>1</v>
          </cell>
          <cell r="DI290">
            <v>0.6</v>
          </cell>
          <cell r="DJ290">
            <v>0.7</v>
          </cell>
          <cell r="DK290">
            <v>0.7</v>
          </cell>
          <cell r="DL290">
            <v>0.8</v>
          </cell>
          <cell r="DM290">
            <v>0.8</v>
          </cell>
          <cell r="DN290">
            <v>0.9</v>
          </cell>
          <cell r="DO290">
            <v>1</v>
          </cell>
          <cell r="DP290">
            <v>0.5</v>
          </cell>
          <cell r="DQ290">
            <v>0.6</v>
          </cell>
          <cell r="DR290">
            <v>1.1000000000000001</v>
          </cell>
          <cell r="DS290">
            <v>1.2</v>
          </cell>
          <cell r="DT290">
            <v>4.0999999999999996</v>
          </cell>
          <cell r="DU290">
            <v>4.5</v>
          </cell>
          <cell r="DV290">
            <v>5</v>
          </cell>
          <cell r="DW290">
            <v>5.5</v>
          </cell>
          <cell r="DX290">
            <v>6</v>
          </cell>
          <cell r="DY290">
            <v>0</v>
          </cell>
          <cell r="DZ290">
            <v>1</v>
          </cell>
          <cell r="EA290">
            <v>0</v>
          </cell>
          <cell r="EB290">
            <v>1</v>
          </cell>
          <cell r="EC290">
            <v>0</v>
          </cell>
          <cell r="ED290">
            <v>1</v>
          </cell>
          <cell r="EE290">
            <v>1.1000000000000001</v>
          </cell>
          <cell r="EF290">
            <v>1.2</v>
          </cell>
          <cell r="EG290">
            <v>1.3</v>
          </cell>
        </row>
        <row r="291">
          <cell r="A291" t="str">
            <v>02810030Asian</v>
          </cell>
          <cell r="B291" t="str">
            <v>02810030A</v>
          </cell>
          <cell r="C291" t="str">
            <v>0281</v>
          </cell>
          <cell r="D291" t="str">
            <v>02810030</v>
          </cell>
          <cell r="E291" t="str">
            <v>Springfield</v>
          </cell>
          <cell r="F291" t="str">
            <v>Elias Brookings</v>
          </cell>
          <cell r="G291" t="str">
            <v>ES</v>
          </cell>
          <cell r="H291" t="str">
            <v>Springfield - Elias Brookings (02810030)</v>
          </cell>
          <cell r="I291" t="str">
            <v>Asian</v>
          </cell>
          <cell r="J291" t="str">
            <v>02810030Asian</v>
          </cell>
          <cell r="K291" t="str">
            <v>--</v>
          </cell>
          <cell r="L291" t="str">
            <v>--</v>
          </cell>
          <cell r="M291" t="str">
            <v>--</v>
          </cell>
          <cell r="N291" t="str">
            <v>--</v>
          </cell>
          <cell r="O291" t="str">
            <v>--</v>
          </cell>
          <cell r="P291" t="str">
            <v>--</v>
          </cell>
          <cell r="Q291" t="str">
            <v>--</v>
          </cell>
          <cell r="R291" t="str">
            <v>--</v>
          </cell>
          <cell r="S291" t="str">
            <v>--</v>
          </cell>
          <cell r="T291" t="str">
            <v>--</v>
          </cell>
          <cell r="U291" t="str">
            <v>--</v>
          </cell>
          <cell r="V291" t="str">
            <v>--</v>
          </cell>
          <cell r="W291" t="str">
            <v>--</v>
          </cell>
          <cell r="X291" t="str">
            <v>--</v>
          </cell>
          <cell r="Y291" t="str">
            <v>--</v>
          </cell>
          <cell r="Z291" t="str">
            <v>--</v>
          </cell>
          <cell r="AA291" t="str">
            <v>--</v>
          </cell>
          <cell r="AB291" t="str">
            <v>--</v>
          </cell>
          <cell r="AC291" t="str">
            <v>--</v>
          </cell>
          <cell r="AD291" t="str">
            <v>--</v>
          </cell>
          <cell r="AE291" t="str">
            <v>--</v>
          </cell>
          <cell r="AF291" t="str">
            <v>--</v>
          </cell>
          <cell r="AG291" t="str">
            <v>--</v>
          </cell>
          <cell r="AH291" t="str">
            <v>--</v>
          </cell>
          <cell r="AI291" t="str">
            <v>--</v>
          </cell>
          <cell r="AJ291" t="str">
            <v>--</v>
          </cell>
          <cell r="AK291" t="str">
            <v>--</v>
          </cell>
          <cell r="AL291" t="str">
            <v>--</v>
          </cell>
          <cell r="AM291" t="str">
            <v>--</v>
          </cell>
          <cell r="AN291" t="str">
            <v>--</v>
          </cell>
          <cell r="AO291" t="str">
            <v>--</v>
          </cell>
          <cell r="AP291" t="str">
            <v>--</v>
          </cell>
          <cell r="AQ291" t="str">
            <v>--</v>
          </cell>
          <cell r="AR291" t="str">
            <v>--</v>
          </cell>
          <cell r="AS291" t="str">
            <v>--</v>
          </cell>
          <cell r="AT291" t="str">
            <v>--</v>
          </cell>
          <cell r="AU291" t="str">
            <v>--</v>
          </cell>
          <cell r="AV291" t="str">
            <v>--</v>
          </cell>
          <cell r="AW291" t="str">
            <v>--</v>
          </cell>
          <cell r="AX291" t="str">
            <v>--</v>
          </cell>
          <cell r="AY291" t="str">
            <v>--</v>
          </cell>
          <cell r="AZ291" t="str">
            <v>--</v>
          </cell>
          <cell r="BA291" t="str">
            <v>--</v>
          </cell>
          <cell r="BB291" t="str">
            <v>--</v>
          </cell>
          <cell r="BC291" t="str">
            <v>--</v>
          </cell>
          <cell r="BD291" t="str">
            <v>--</v>
          </cell>
          <cell r="BE291" t="str">
            <v>--</v>
          </cell>
          <cell r="BF291" t="str">
            <v>--</v>
          </cell>
          <cell r="BG291" t="str">
            <v>--</v>
          </cell>
          <cell r="BH291" t="str">
            <v>--</v>
          </cell>
          <cell r="BI291" t="str">
            <v>--</v>
          </cell>
          <cell r="BJ291" t="str">
            <v>--</v>
          </cell>
          <cell r="BK291" t="str">
            <v>--</v>
          </cell>
          <cell r="BL291" t="str">
            <v>--</v>
          </cell>
          <cell r="BM291" t="str">
            <v>--</v>
          </cell>
          <cell r="BN291" t="str">
            <v>--</v>
          </cell>
          <cell r="BO291" t="str">
            <v>--</v>
          </cell>
          <cell r="BP291" t="str">
            <v>--</v>
          </cell>
          <cell r="BQ291" t="str">
            <v>--</v>
          </cell>
          <cell r="BR291" t="str">
            <v>--</v>
          </cell>
          <cell r="BS291" t="str">
            <v>--</v>
          </cell>
          <cell r="BT291" t="str">
            <v>--</v>
          </cell>
          <cell r="BU291" t="str">
            <v>--</v>
          </cell>
          <cell r="BV291" t="str">
            <v>--</v>
          </cell>
          <cell r="BW291" t="str">
            <v>--</v>
          </cell>
          <cell r="BX291" t="str">
            <v>--</v>
          </cell>
          <cell r="BY291" t="str">
            <v>--</v>
          </cell>
          <cell r="BZ291" t="str">
            <v>--</v>
          </cell>
          <cell r="CA291" t="str">
            <v>--</v>
          </cell>
          <cell r="CB291" t="str">
            <v>--</v>
          </cell>
          <cell r="CC291" t="str">
            <v>--</v>
          </cell>
          <cell r="CD291" t="str">
            <v>--</v>
          </cell>
          <cell r="CE291" t="str">
            <v>--</v>
          </cell>
          <cell r="CF291" t="str">
            <v>--</v>
          </cell>
          <cell r="CG291" t="str">
            <v>--</v>
          </cell>
          <cell r="CH291" t="str">
            <v>--</v>
          </cell>
          <cell r="CI291" t="str">
            <v>--</v>
          </cell>
          <cell r="CJ291" t="str">
            <v>--</v>
          </cell>
          <cell r="CK291" t="str">
            <v>--</v>
          </cell>
          <cell r="CL291" t="str">
            <v>--</v>
          </cell>
          <cell r="CM291" t="str">
            <v>--</v>
          </cell>
          <cell r="CN291" t="str">
            <v>--</v>
          </cell>
          <cell r="CO291" t="str">
            <v>--</v>
          </cell>
          <cell r="CP291" t="str">
            <v>--</v>
          </cell>
          <cell r="CQ291" t="str">
            <v>--</v>
          </cell>
          <cell r="CR291" t="str">
            <v>--</v>
          </cell>
          <cell r="CS291" t="str">
            <v>--</v>
          </cell>
          <cell r="CT291" t="str">
            <v>--</v>
          </cell>
          <cell r="CU291" t="str">
            <v>--</v>
          </cell>
          <cell r="CV291" t="str">
            <v>--</v>
          </cell>
          <cell r="CW291" t="str">
            <v>--</v>
          </cell>
          <cell r="CX291" t="str">
            <v>--</v>
          </cell>
          <cell r="CY291" t="str">
            <v>--</v>
          </cell>
          <cell r="CZ291" t="str">
            <v>--</v>
          </cell>
          <cell r="DA291" t="str">
            <v>--</v>
          </cell>
          <cell r="DB291" t="str">
            <v>--</v>
          </cell>
          <cell r="DC291" t="str">
            <v>--</v>
          </cell>
          <cell r="DD291" t="str">
            <v>--</v>
          </cell>
          <cell r="DE291" t="str">
            <v>--</v>
          </cell>
          <cell r="DF291" t="str">
            <v>--</v>
          </cell>
          <cell r="DG291" t="str">
            <v>--</v>
          </cell>
          <cell r="DH291" t="str">
            <v>--</v>
          </cell>
          <cell r="DI291" t="str">
            <v>--</v>
          </cell>
          <cell r="DJ291" t="str">
            <v>--</v>
          </cell>
          <cell r="DK291" t="str">
            <v>--</v>
          </cell>
          <cell r="DL291" t="str">
            <v>--</v>
          </cell>
          <cell r="DM291" t="str">
            <v>--</v>
          </cell>
          <cell r="DN291" t="str">
            <v>--</v>
          </cell>
          <cell r="DO291" t="str">
            <v>--</v>
          </cell>
          <cell r="DP291" t="str">
            <v>--</v>
          </cell>
          <cell r="DQ291" t="str">
            <v>--</v>
          </cell>
          <cell r="DR291" t="str">
            <v>--</v>
          </cell>
          <cell r="DS291" t="str">
            <v>--</v>
          </cell>
          <cell r="DT291" t="str">
            <v>--</v>
          </cell>
          <cell r="DU291" t="str">
            <v>--</v>
          </cell>
          <cell r="DV291" t="str">
            <v>--</v>
          </cell>
          <cell r="DW291" t="str">
            <v>--</v>
          </cell>
          <cell r="DX291" t="str">
            <v>--</v>
          </cell>
          <cell r="DY291" t="str">
            <v>--</v>
          </cell>
          <cell r="DZ291" t="str">
            <v>--</v>
          </cell>
          <cell r="EA291" t="str">
            <v>--</v>
          </cell>
          <cell r="EB291" t="str">
            <v>--</v>
          </cell>
          <cell r="EC291" t="str">
            <v>--</v>
          </cell>
          <cell r="ED291" t="str">
            <v>--</v>
          </cell>
          <cell r="EE291" t="str">
            <v>--</v>
          </cell>
          <cell r="EF291" t="str">
            <v>--</v>
          </cell>
          <cell r="EG291" t="str">
            <v>--</v>
          </cell>
        </row>
        <row r="292">
          <cell r="A292" t="str">
            <v>02810030Afr. Amer/Black</v>
          </cell>
          <cell r="B292" t="str">
            <v>02810030B</v>
          </cell>
          <cell r="C292" t="str">
            <v>0281</v>
          </cell>
          <cell r="D292" t="str">
            <v>02810030</v>
          </cell>
          <cell r="E292" t="str">
            <v>Springfield</v>
          </cell>
          <cell r="F292" t="str">
            <v>Elias Brookings</v>
          </cell>
          <cell r="G292" t="str">
            <v>ES</v>
          </cell>
          <cell r="H292" t="str">
            <v>Springfield - Elias Brookings (02810030)</v>
          </cell>
          <cell r="I292" t="str">
            <v>Afr. Amer/Black</v>
          </cell>
          <cell r="J292" t="str">
            <v>02810030Afr. Amer/Black</v>
          </cell>
          <cell r="K292" t="str">
            <v>--</v>
          </cell>
          <cell r="L292">
            <v>61.6</v>
          </cell>
          <cell r="M292">
            <v>64.8</v>
          </cell>
          <cell r="N292">
            <v>65.7</v>
          </cell>
          <cell r="O292">
            <v>68</v>
          </cell>
          <cell r="P292">
            <v>63.5</v>
          </cell>
          <cell r="Q292">
            <v>71.2</v>
          </cell>
          <cell r="R292">
            <v>74.400000000000006</v>
          </cell>
          <cell r="S292">
            <v>77.599999999999994</v>
          </cell>
          <cell r="T292">
            <v>80.8</v>
          </cell>
          <cell r="U292">
            <v>59.8</v>
          </cell>
          <cell r="V292">
            <v>63.2</v>
          </cell>
          <cell r="W292">
            <v>68.5</v>
          </cell>
          <cell r="X292">
            <v>66.5</v>
          </cell>
          <cell r="Y292">
            <v>56.3</v>
          </cell>
          <cell r="Z292">
            <v>69.900000000000006</v>
          </cell>
          <cell r="AA292">
            <v>73.2</v>
          </cell>
          <cell r="AB292">
            <v>76.599999999999994</v>
          </cell>
          <cell r="AC292">
            <v>79.900000000000006</v>
          </cell>
          <cell r="AD292" t="str">
            <v>--</v>
          </cell>
          <cell r="AE292" t="str">
            <v>--</v>
          </cell>
          <cell r="AF292" t="str">
            <v>--</v>
          </cell>
          <cell r="AG292" t="str">
            <v>--</v>
          </cell>
          <cell r="AH292" t="str">
            <v>--</v>
          </cell>
          <cell r="AI292" t="str">
            <v>--</v>
          </cell>
          <cell r="AJ292" t="str">
            <v>--</v>
          </cell>
          <cell r="AK292" t="str">
            <v>--</v>
          </cell>
          <cell r="AL292" t="str">
            <v>--</v>
          </cell>
          <cell r="AM292" t="str">
            <v>--</v>
          </cell>
          <cell r="AN292" t="str">
            <v>--</v>
          </cell>
          <cell r="AO292" t="str">
            <v>--</v>
          </cell>
          <cell r="AP292" t="str">
            <v>--</v>
          </cell>
          <cell r="AQ292" t="str">
            <v>--</v>
          </cell>
          <cell r="AR292" t="str">
            <v>--</v>
          </cell>
          <cell r="AS292" t="str">
            <v>--</v>
          </cell>
          <cell r="AT292" t="str">
            <v>--</v>
          </cell>
          <cell r="AU292" t="str">
            <v>--</v>
          </cell>
          <cell r="AV292" t="str">
            <v>--</v>
          </cell>
          <cell r="AW292" t="str">
            <v>--</v>
          </cell>
          <cell r="AX292" t="str">
            <v>--</v>
          </cell>
          <cell r="AY292" t="str">
            <v>--</v>
          </cell>
          <cell r="AZ292" t="str">
            <v>--</v>
          </cell>
          <cell r="BA292" t="str">
            <v>--</v>
          </cell>
          <cell r="BB292" t="str">
            <v>--</v>
          </cell>
          <cell r="BC292" t="str">
            <v>--</v>
          </cell>
          <cell r="BD292" t="str">
            <v>--</v>
          </cell>
          <cell r="BE292" t="str">
            <v>--</v>
          </cell>
          <cell r="BF292" t="str">
            <v>--</v>
          </cell>
          <cell r="BG292" t="str">
            <v>--</v>
          </cell>
          <cell r="BH292" t="str">
            <v>--</v>
          </cell>
          <cell r="BI292" t="str">
            <v>--</v>
          </cell>
          <cell r="BJ292" t="str">
            <v>--</v>
          </cell>
          <cell r="BK292" t="str">
            <v>--</v>
          </cell>
          <cell r="BL292" t="str">
            <v>--</v>
          </cell>
          <cell r="BM292" t="str">
            <v>--</v>
          </cell>
          <cell r="BN292" t="str">
            <v>--</v>
          </cell>
          <cell r="BO292" t="str">
            <v>--</v>
          </cell>
          <cell r="BP292" t="str">
            <v>--</v>
          </cell>
          <cell r="BQ292" t="str">
            <v>--</v>
          </cell>
          <cell r="BR292" t="str">
            <v>--</v>
          </cell>
          <cell r="BS292" t="str">
            <v>--</v>
          </cell>
          <cell r="BT292" t="str">
            <v>--</v>
          </cell>
          <cell r="BU292" t="str">
            <v>--</v>
          </cell>
          <cell r="BV292" t="str">
            <v>--</v>
          </cell>
          <cell r="BW292" t="str">
            <v>--</v>
          </cell>
          <cell r="BX292" t="str">
            <v>--</v>
          </cell>
          <cell r="BY292" t="str">
            <v>--</v>
          </cell>
          <cell r="BZ292" t="str">
            <v>--</v>
          </cell>
          <cell r="CA292" t="str">
            <v>--</v>
          </cell>
          <cell r="CB292" t="str">
            <v>--</v>
          </cell>
          <cell r="CC292" t="str">
            <v>--</v>
          </cell>
          <cell r="CD292" t="str">
            <v>--</v>
          </cell>
          <cell r="CE292" t="str">
            <v>--</v>
          </cell>
          <cell r="CF292">
            <v>28.6</v>
          </cell>
          <cell r="CG292">
            <v>25.7</v>
          </cell>
          <cell r="CH292">
            <v>22.2</v>
          </cell>
          <cell r="CI292">
            <v>20</v>
          </cell>
          <cell r="CJ292">
            <v>20.8</v>
          </cell>
          <cell r="CK292">
            <v>18.7</v>
          </cell>
          <cell r="CL292">
            <v>16.8</v>
          </cell>
          <cell r="CM292">
            <v>15.2</v>
          </cell>
          <cell r="CN292">
            <v>13.6</v>
          </cell>
          <cell r="CO292">
            <v>35.700000000000003</v>
          </cell>
          <cell r="CP292">
            <v>32.1</v>
          </cell>
          <cell r="CQ292">
            <v>14.8</v>
          </cell>
          <cell r="CR292">
            <v>13.3</v>
          </cell>
          <cell r="CS292">
            <v>37.5</v>
          </cell>
          <cell r="CT292">
            <v>33.799999999999997</v>
          </cell>
          <cell r="CU292">
            <v>30.4</v>
          </cell>
          <cell r="CV292">
            <v>27.3</v>
          </cell>
          <cell r="CW292">
            <v>24.6</v>
          </cell>
          <cell r="CX292" t="str">
            <v>--</v>
          </cell>
          <cell r="CY292" t="str">
            <v>--</v>
          </cell>
          <cell r="CZ292" t="str">
            <v>--</v>
          </cell>
          <cell r="DA292" t="str">
            <v>--</v>
          </cell>
          <cell r="DB292" t="str">
            <v>--</v>
          </cell>
          <cell r="DC292" t="str">
            <v>--</v>
          </cell>
          <cell r="DD292" t="str">
            <v>--</v>
          </cell>
          <cell r="DE292" t="str">
            <v>--</v>
          </cell>
          <cell r="DF292" t="str">
            <v>--</v>
          </cell>
          <cell r="DG292">
            <v>0</v>
          </cell>
          <cell r="DH292">
            <v>1</v>
          </cell>
          <cell r="DI292">
            <v>0</v>
          </cell>
          <cell r="DJ292">
            <v>1</v>
          </cell>
          <cell r="DK292">
            <v>0</v>
          </cell>
          <cell r="DL292">
            <v>1</v>
          </cell>
          <cell r="DM292">
            <v>1.1000000000000001</v>
          </cell>
          <cell r="DN292">
            <v>1.2</v>
          </cell>
          <cell r="DO292">
            <v>1.3</v>
          </cell>
          <cell r="DP292">
            <v>7.1</v>
          </cell>
          <cell r="DQ292">
            <v>7.8</v>
          </cell>
          <cell r="DR292">
            <v>11.1</v>
          </cell>
          <cell r="DS292">
            <v>12.2</v>
          </cell>
          <cell r="DT292">
            <v>0</v>
          </cell>
          <cell r="DU292">
            <v>1</v>
          </cell>
          <cell r="DV292">
            <v>1.1000000000000001</v>
          </cell>
          <cell r="DW292">
            <v>1.2</v>
          </cell>
          <cell r="DX292">
            <v>1.3</v>
          </cell>
          <cell r="DY292" t="str">
            <v>--</v>
          </cell>
          <cell r="DZ292" t="str">
            <v>--</v>
          </cell>
          <cell r="EA292" t="str">
            <v>--</v>
          </cell>
          <cell r="EB292" t="str">
            <v>--</v>
          </cell>
          <cell r="EC292" t="str">
            <v>--</v>
          </cell>
          <cell r="ED292" t="str">
            <v>--</v>
          </cell>
          <cell r="EE292" t="str">
            <v>--</v>
          </cell>
          <cell r="EF292" t="str">
            <v>--</v>
          </cell>
          <cell r="EG292" t="str">
            <v>--</v>
          </cell>
        </row>
        <row r="293">
          <cell r="A293" t="str">
            <v>02810030White</v>
          </cell>
          <cell r="B293" t="str">
            <v>02810030C</v>
          </cell>
          <cell r="C293" t="str">
            <v>0281</v>
          </cell>
          <cell r="D293" t="str">
            <v>02810030</v>
          </cell>
          <cell r="E293" t="str">
            <v>Springfield</v>
          </cell>
          <cell r="F293" t="str">
            <v>Elias Brookings</v>
          </cell>
          <cell r="G293" t="str">
            <v>ES</v>
          </cell>
          <cell r="H293" t="str">
            <v>Springfield - Elias Brookings (02810030)</v>
          </cell>
          <cell r="I293" t="str">
            <v>White</v>
          </cell>
          <cell r="J293" t="str">
            <v>02810030White</v>
          </cell>
          <cell r="K293" t="str">
            <v>--</v>
          </cell>
          <cell r="L293" t="str">
            <v>--</v>
          </cell>
          <cell r="M293" t="str">
            <v>--</v>
          </cell>
          <cell r="N293" t="str">
            <v>--</v>
          </cell>
          <cell r="O293" t="str">
            <v>--</v>
          </cell>
          <cell r="P293" t="str">
            <v>--</v>
          </cell>
          <cell r="Q293" t="str">
            <v>--</v>
          </cell>
          <cell r="R293" t="str">
            <v>--</v>
          </cell>
          <cell r="S293" t="str">
            <v>--</v>
          </cell>
          <cell r="T293" t="str">
            <v>--</v>
          </cell>
          <cell r="U293" t="str">
            <v>--</v>
          </cell>
          <cell r="V293" t="str">
            <v>--</v>
          </cell>
          <cell r="W293" t="str">
            <v>--</v>
          </cell>
          <cell r="X293" t="str">
            <v>--</v>
          </cell>
          <cell r="Y293" t="str">
            <v>--</v>
          </cell>
          <cell r="Z293" t="str">
            <v>--</v>
          </cell>
          <cell r="AA293" t="str">
            <v>--</v>
          </cell>
          <cell r="AB293" t="str">
            <v>--</v>
          </cell>
          <cell r="AC293" t="str">
            <v>--</v>
          </cell>
          <cell r="AD293" t="str">
            <v>--</v>
          </cell>
          <cell r="AE293" t="str">
            <v>--</v>
          </cell>
          <cell r="AF293" t="str">
            <v>--</v>
          </cell>
          <cell r="AG293" t="str">
            <v>--</v>
          </cell>
          <cell r="AH293" t="str">
            <v>--</v>
          </cell>
          <cell r="AI293" t="str">
            <v>--</v>
          </cell>
          <cell r="AJ293" t="str">
            <v>--</v>
          </cell>
          <cell r="AK293" t="str">
            <v>--</v>
          </cell>
          <cell r="AL293" t="str">
            <v>--</v>
          </cell>
          <cell r="AM293" t="str">
            <v>--</v>
          </cell>
          <cell r="AN293" t="str">
            <v>--</v>
          </cell>
          <cell r="AO293" t="str">
            <v>--</v>
          </cell>
          <cell r="AP293" t="str">
            <v>--</v>
          </cell>
          <cell r="AQ293" t="str">
            <v>--</v>
          </cell>
          <cell r="AR293" t="str">
            <v>--</v>
          </cell>
          <cell r="AS293" t="str">
            <v>--</v>
          </cell>
          <cell r="AT293" t="str">
            <v>--</v>
          </cell>
          <cell r="AU293" t="str">
            <v>--</v>
          </cell>
          <cell r="AV293" t="str">
            <v>--</v>
          </cell>
          <cell r="AW293" t="str">
            <v>--</v>
          </cell>
          <cell r="AX293" t="str">
            <v>--</v>
          </cell>
          <cell r="AY293" t="str">
            <v>--</v>
          </cell>
          <cell r="AZ293" t="str">
            <v>--</v>
          </cell>
          <cell r="BA293" t="str">
            <v>--</v>
          </cell>
          <cell r="BB293" t="str">
            <v>--</v>
          </cell>
          <cell r="BC293" t="str">
            <v>--</v>
          </cell>
          <cell r="BD293" t="str">
            <v>--</v>
          </cell>
          <cell r="BE293" t="str">
            <v>--</v>
          </cell>
          <cell r="BF293" t="str">
            <v>--</v>
          </cell>
          <cell r="BG293" t="str">
            <v>--</v>
          </cell>
          <cell r="BH293" t="str">
            <v>--</v>
          </cell>
          <cell r="BI293" t="str">
            <v>--</v>
          </cell>
          <cell r="BJ293" t="str">
            <v>--</v>
          </cell>
          <cell r="BK293" t="str">
            <v>--</v>
          </cell>
          <cell r="BL293" t="str">
            <v>--</v>
          </cell>
          <cell r="BM293" t="str">
            <v>--</v>
          </cell>
          <cell r="BN293" t="str">
            <v>--</v>
          </cell>
          <cell r="BO293" t="str">
            <v>--</v>
          </cell>
          <cell r="BP293" t="str">
            <v>--</v>
          </cell>
          <cell r="BQ293" t="str">
            <v>--</v>
          </cell>
          <cell r="BR293" t="str">
            <v>--</v>
          </cell>
          <cell r="BS293" t="str">
            <v>--</v>
          </cell>
          <cell r="BT293" t="str">
            <v>--</v>
          </cell>
          <cell r="BU293" t="str">
            <v>--</v>
          </cell>
          <cell r="BV293" t="str">
            <v>--</v>
          </cell>
          <cell r="BW293" t="str">
            <v>--</v>
          </cell>
          <cell r="BX293" t="str">
            <v>--</v>
          </cell>
          <cell r="BY293" t="str">
            <v>--</v>
          </cell>
          <cell r="BZ293" t="str">
            <v>--</v>
          </cell>
          <cell r="CA293" t="str">
            <v>--</v>
          </cell>
          <cell r="CB293" t="str">
            <v>--</v>
          </cell>
          <cell r="CC293" t="str">
            <v>--</v>
          </cell>
          <cell r="CD293" t="str">
            <v>--</v>
          </cell>
          <cell r="CE293" t="str">
            <v>--</v>
          </cell>
          <cell r="CF293" t="str">
            <v>--</v>
          </cell>
          <cell r="CG293" t="str">
            <v>--</v>
          </cell>
          <cell r="CH293" t="str">
            <v>--</v>
          </cell>
          <cell r="CI293" t="str">
            <v>--</v>
          </cell>
          <cell r="CJ293" t="str">
            <v>--</v>
          </cell>
          <cell r="CK293" t="str">
            <v>--</v>
          </cell>
          <cell r="CL293" t="str">
            <v>--</v>
          </cell>
          <cell r="CM293" t="str">
            <v>--</v>
          </cell>
          <cell r="CN293" t="str">
            <v>--</v>
          </cell>
          <cell r="CO293" t="str">
            <v>--</v>
          </cell>
          <cell r="CP293" t="str">
            <v>--</v>
          </cell>
          <cell r="CQ293" t="str">
            <v>--</v>
          </cell>
          <cell r="CR293" t="str">
            <v>--</v>
          </cell>
          <cell r="CS293" t="str">
            <v>--</v>
          </cell>
          <cell r="CT293" t="str">
            <v>--</v>
          </cell>
          <cell r="CU293" t="str">
            <v>--</v>
          </cell>
          <cell r="CV293" t="str">
            <v>--</v>
          </cell>
          <cell r="CW293" t="str">
            <v>--</v>
          </cell>
          <cell r="CX293" t="str">
            <v>--</v>
          </cell>
          <cell r="CY293" t="str">
            <v>--</v>
          </cell>
          <cell r="CZ293" t="str">
            <v>--</v>
          </cell>
          <cell r="DA293" t="str">
            <v>--</v>
          </cell>
          <cell r="DB293" t="str">
            <v>--</v>
          </cell>
          <cell r="DC293" t="str">
            <v>--</v>
          </cell>
          <cell r="DD293" t="str">
            <v>--</v>
          </cell>
          <cell r="DE293" t="str">
            <v>--</v>
          </cell>
          <cell r="DF293" t="str">
            <v>--</v>
          </cell>
          <cell r="DG293" t="str">
            <v>--</v>
          </cell>
          <cell r="DH293" t="str">
            <v>--</v>
          </cell>
          <cell r="DI293" t="str">
            <v>--</v>
          </cell>
          <cell r="DJ293" t="str">
            <v>--</v>
          </cell>
          <cell r="DK293" t="str">
            <v>--</v>
          </cell>
          <cell r="DL293" t="str">
            <v>--</v>
          </cell>
          <cell r="DM293" t="str">
            <v>--</v>
          </cell>
          <cell r="DN293" t="str">
            <v>--</v>
          </cell>
          <cell r="DO293" t="str">
            <v>--</v>
          </cell>
          <cell r="DP293" t="str">
            <v>--</v>
          </cell>
          <cell r="DQ293" t="str">
            <v>--</v>
          </cell>
          <cell r="DR293" t="str">
            <v>--</v>
          </cell>
          <cell r="DS293" t="str">
            <v>--</v>
          </cell>
          <cell r="DT293" t="str">
            <v>--</v>
          </cell>
          <cell r="DU293" t="str">
            <v>--</v>
          </cell>
          <cell r="DV293" t="str">
            <v>--</v>
          </cell>
          <cell r="DW293" t="str">
            <v>--</v>
          </cell>
          <cell r="DX293" t="str">
            <v>--</v>
          </cell>
          <cell r="DY293" t="str">
            <v>--</v>
          </cell>
          <cell r="DZ293" t="str">
            <v>--</v>
          </cell>
          <cell r="EA293" t="str">
            <v>--</v>
          </cell>
          <cell r="EB293" t="str">
            <v>--</v>
          </cell>
          <cell r="EC293" t="str">
            <v>--</v>
          </cell>
          <cell r="ED293" t="str">
            <v>--</v>
          </cell>
          <cell r="EE293" t="str">
            <v>--</v>
          </cell>
          <cell r="EF293" t="str">
            <v>--</v>
          </cell>
          <cell r="EG293" t="str">
            <v>--</v>
          </cell>
        </row>
        <row r="294">
          <cell r="A294" t="str">
            <v>02810030Students w/disabilities</v>
          </cell>
          <cell r="B294" t="str">
            <v>02810030D</v>
          </cell>
          <cell r="C294" t="str">
            <v>0281</v>
          </cell>
          <cell r="D294" t="str">
            <v>02810030</v>
          </cell>
          <cell r="E294" t="str">
            <v>Springfield</v>
          </cell>
          <cell r="F294" t="str">
            <v>Elias Brookings</v>
          </cell>
          <cell r="G294" t="str">
            <v>ES</v>
          </cell>
          <cell r="H294" t="str">
            <v>Springfield - Elias Brookings (02810030)</v>
          </cell>
          <cell r="I294" t="str">
            <v>Students w/disabilities</v>
          </cell>
          <cell r="J294" t="str">
            <v>02810030Students w/disabilities</v>
          </cell>
          <cell r="K294" t="str">
            <v>--</v>
          </cell>
          <cell r="L294">
            <v>54.3</v>
          </cell>
          <cell r="M294">
            <v>58.1</v>
          </cell>
          <cell r="N294">
            <v>56.9</v>
          </cell>
          <cell r="O294">
            <v>61.9</v>
          </cell>
          <cell r="P294">
            <v>50</v>
          </cell>
          <cell r="Q294">
            <v>65.7</v>
          </cell>
          <cell r="R294">
            <v>69.5</v>
          </cell>
          <cell r="S294">
            <v>73.3</v>
          </cell>
          <cell r="T294">
            <v>77.2</v>
          </cell>
          <cell r="U294">
            <v>50.6</v>
          </cell>
          <cell r="V294">
            <v>54.7</v>
          </cell>
          <cell r="W294">
            <v>55.2</v>
          </cell>
          <cell r="X294">
            <v>58.8</v>
          </cell>
          <cell r="Y294">
            <v>50</v>
          </cell>
          <cell r="Z294">
            <v>63</v>
          </cell>
          <cell r="AA294">
            <v>67.099999999999994</v>
          </cell>
          <cell r="AB294">
            <v>71.2</v>
          </cell>
          <cell r="AC294">
            <v>75.3</v>
          </cell>
          <cell r="AD294" t="str">
            <v>--</v>
          </cell>
          <cell r="AE294" t="str">
            <v>--</v>
          </cell>
          <cell r="AF294" t="str">
            <v>--</v>
          </cell>
          <cell r="AG294" t="str">
            <v>--</v>
          </cell>
          <cell r="AH294" t="str">
            <v>--</v>
          </cell>
          <cell r="AI294" t="str">
            <v>--</v>
          </cell>
          <cell r="AJ294" t="str">
            <v>--</v>
          </cell>
          <cell r="AK294" t="str">
            <v>--</v>
          </cell>
          <cell r="AL294" t="str">
            <v>--</v>
          </cell>
          <cell r="AM294" t="str">
            <v>--</v>
          </cell>
          <cell r="AN294" t="str">
            <v>--</v>
          </cell>
          <cell r="AO294" t="str">
            <v>--</v>
          </cell>
          <cell r="AP294" t="str">
            <v>--</v>
          </cell>
          <cell r="AQ294" t="str">
            <v>--</v>
          </cell>
          <cell r="AR294" t="str">
            <v>--</v>
          </cell>
          <cell r="AS294" t="str">
            <v>--</v>
          </cell>
          <cell r="AT294" t="str">
            <v>--</v>
          </cell>
          <cell r="AU294" t="str">
            <v>--</v>
          </cell>
          <cell r="AV294" t="str">
            <v>--</v>
          </cell>
          <cell r="AW294" t="str">
            <v>--</v>
          </cell>
          <cell r="AX294" t="str">
            <v>--</v>
          </cell>
          <cell r="AY294" t="str">
            <v>--</v>
          </cell>
          <cell r="AZ294" t="str">
            <v>--</v>
          </cell>
          <cell r="BA294" t="str">
            <v>--</v>
          </cell>
          <cell r="BB294" t="str">
            <v>--</v>
          </cell>
          <cell r="BC294" t="str">
            <v>--</v>
          </cell>
          <cell r="BD294" t="str">
            <v>--</v>
          </cell>
          <cell r="BE294" t="str">
            <v>--</v>
          </cell>
          <cell r="BF294" t="str">
            <v>--</v>
          </cell>
          <cell r="BG294" t="str">
            <v>--</v>
          </cell>
          <cell r="BH294" t="str">
            <v>--</v>
          </cell>
          <cell r="BI294" t="str">
            <v>--</v>
          </cell>
          <cell r="BJ294" t="str">
            <v>--</v>
          </cell>
          <cell r="BK294" t="str">
            <v>--</v>
          </cell>
          <cell r="BL294" t="str">
            <v>--</v>
          </cell>
          <cell r="BM294" t="str">
            <v>--</v>
          </cell>
          <cell r="BN294" t="str">
            <v>--</v>
          </cell>
          <cell r="BO294" t="str">
            <v>--</v>
          </cell>
          <cell r="BP294" t="str">
            <v>--</v>
          </cell>
          <cell r="BQ294" t="str">
            <v>--</v>
          </cell>
          <cell r="BR294" t="str">
            <v>--</v>
          </cell>
          <cell r="BS294" t="str">
            <v>--</v>
          </cell>
          <cell r="BT294" t="str">
            <v>--</v>
          </cell>
          <cell r="BU294" t="str">
            <v>--</v>
          </cell>
          <cell r="BV294" t="str">
            <v>--</v>
          </cell>
          <cell r="BW294" t="str">
            <v>--</v>
          </cell>
          <cell r="BX294" t="str">
            <v>--</v>
          </cell>
          <cell r="BY294" t="str">
            <v>--</v>
          </cell>
          <cell r="BZ294" t="str">
            <v>--</v>
          </cell>
          <cell r="CA294" t="str">
            <v>--</v>
          </cell>
          <cell r="CB294" t="str">
            <v>--</v>
          </cell>
          <cell r="CC294" t="str">
            <v>--</v>
          </cell>
          <cell r="CD294" t="str">
            <v>--</v>
          </cell>
          <cell r="CE294" t="str">
            <v>--</v>
          </cell>
          <cell r="CF294">
            <v>43.9</v>
          </cell>
          <cell r="CG294">
            <v>39.5</v>
          </cell>
          <cell r="CH294">
            <v>37.9</v>
          </cell>
          <cell r="CI294">
            <v>34.1</v>
          </cell>
          <cell r="CJ294">
            <v>46.7</v>
          </cell>
          <cell r="CK294">
            <v>42</v>
          </cell>
          <cell r="CL294">
            <v>37.799999999999997</v>
          </cell>
          <cell r="CM294">
            <v>34</v>
          </cell>
          <cell r="CN294">
            <v>30.6</v>
          </cell>
          <cell r="CO294">
            <v>55</v>
          </cell>
          <cell r="CP294">
            <v>49.5</v>
          </cell>
          <cell r="CQ294">
            <v>51.7</v>
          </cell>
          <cell r="CR294">
            <v>46.5</v>
          </cell>
          <cell r="CS294">
            <v>44.8</v>
          </cell>
          <cell r="CT294">
            <v>40.299999999999997</v>
          </cell>
          <cell r="CU294">
            <v>36.299999999999997</v>
          </cell>
          <cell r="CV294">
            <v>32.700000000000003</v>
          </cell>
          <cell r="CW294">
            <v>29.4</v>
          </cell>
          <cell r="CX294" t="str">
            <v>--</v>
          </cell>
          <cell r="CY294" t="str">
            <v>--</v>
          </cell>
          <cell r="CZ294" t="str">
            <v>--</v>
          </cell>
          <cell r="DA294" t="str">
            <v>--</v>
          </cell>
          <cell r="DB294" t="str">
            <v>--</v>
          </cell>
          <cell r="DC294" t="str">
            <v>--</v>
          </cell>
          <cell r="DD294" t="str">
            <v>--</v>
          </cell>
          <cell r="DE294" t="str">
            <v>--</v>
          </cell>
          <cell r="DF294" t="str">
            <v>--</v>
          </cell>
          <cell r="DG294">
            <v>0</v>
          </cell>
          <cell r="DH294">
            <v>1</v>
          </cell>
          <cell r="DI294">
            <v>0</v>
          </cell>
          <cell r="DJ294">
            <v>1</v>
          </cell>
          <cell r="DK294">
            <v>0</v>
          </cell>
          <cell r="DL294">
            <v>1</v>
          </cell>
          <cell r="DM294">
            <v>1.1000000000000001</v>
          </cell>
          <cell r="DN294">
            <v>1.2</v>
          </cell>
          <cell r="DO294">
            <v>1.3</v>
          </cell>
          <cell r="DP294">
            <v>0</v>
          </cell>
          <cell r="DQ294">
            <v>1</v>
          </cell>
          <cell r="DR294">
            <v>0</v>
          </cell>
          <cell r="DS294">
            <v>1</v>
          </cell>
          <cell r="DT294">
            <v>0</v>
          </cell>
          <cell r="DU294">
            <v>1</v>
          </cell>
          <cell r="DV294">
            <v>1.1000000000000001</v>
          </cell>
          <cell r="DW294">
            <v>1.2</v>
          </cell>
          <cell r="DX294">
            <v>1.3</v>
          </cell>
          <cell r="DY294" t="str">
            <v>--</v>
          </cell>
          <cell r="DZ294" t="str">
            <v>--</v>
          </cell>
          <cell r="EA294" t="str">
            <v>--</v>
          </cell>
          <cell r="EB294" t="str">
            <v>--</v>
          </cell>
          <cell r="EC294" t="str">
            <v>--</v>
          </cell>
          <cell r="ED294" t="str">
            <v>--</v>
          </cell>
          <cell r="EE294" t="str">
            <v>--</v>
          </cell>
          <cell r="EF294" t="str">
            <v>--</v>
          </cell>
          <cell r="EG294" t="str">
            <v>--</v>
          </cell>
        </row>
        <row r="295">
          <cell r="A295" t="str">
            <v>02810030Low income</v>
          </cell>
          <cell r="B295" t="str">
            <v>02810030F</v>
          </cell>
          <cell r="C295" t="str">
            <v>0281</v>
          </cell>
          <cell r="D295" t="str">
            <v>02810030</v>
          </cell>
          <cell r="E295" t="str">
            <v>Springfield</v>
          </cell>
          <cell r="F295" t="str">
            <v>Elias Brookings</v>
          </cell>
          <cell r="G295" t="str">
            <v>ES</v>
          </cell>
          <cell r="H295" t="str">
            <v>Springfield - Elias Brookings (02810030)</v>
          </cell>
          <cell r="I295" t="str">
            <v>Low income</v>
          </cell>
          <cell r="J295" t="str">
            <v>02810030Low income</v>
          </cell>
          <cell r="K295" t="str">
            <v>--</v>
          </cell>
          <cell r="L295">
            <v>62.4</v>
          </cell>
          <cell r="M295">
            <v>65.5</v>
          </cell>
          <cell r="N295">
            <v>63.3</v>
          </cell>
          <cell r="O295">
            <v>68.7</v>
          </cell>
          <cell r="P295">
            <v>62.2</v>
          </cell>
          <cell r="Q295">
            <v>73.099999999999994</v>
          </cell>
          <cell r="R295">
            <v>76.2</v>
          </cell>
          <cell r="S295">
            <v>79.400000000000006</v>
          </cell>
          <cell r="T295">
            <v>82.5</v>
          </cell>
          <cell r="U295">
            <v>62.1</v>
          </cell>
          <cell r="V295">
            <v>65.3</v>
          </cell>
          <cell r="W295">
            <v>65.099999999999994</v>
          </cell>
          <cell r="X295">
            <v>68.400000000000006</v>
          </cell>
          <cell r="Y295">
            <v>62.3</v>
          </cell>
          <cell r="Z295">
            <v>72.900000000000006</v>
          </cell>
          <cell r="AA295">
            <v>76</v>
          </cell>
          <cell r="AB295">
            <v>79.2</v>
          </cell>
          <cell r="AC295">
            <v>82.4</v>
          </cell>
          <cell r="AD295">
            <v>51.9</v>
          </cell>
          <cell r="AE295">
            <v>55.9</v>
          </cell>
          <cell r="AF295">
            <v>50.6</v>
          </cell>
          <cell r="AG295">
            <v>59.9</v>
          </cell>
          <cell r="AH295">
            <v>55.6</v>
          </cell>
          <cell r="AI295">
            <v>65.2</v>
          </cell>
          <cell r="AJ295">
            <v>69.2</v>
          </cell>
          <cell r="AK295">
            <v>73.2</v>
          </cell>
          <cell r="AL295">
            <v>77.3</v>
          </cell>
          <cell r="AM295" t="str">
            <v>--</v>
          </cell>
          <cell r="AN295" t="str">
            <v>--</v>
          </cell>
          <cell r="AO295" t="str">
            <v>--</v>
          </cell>
          <cell r="AP295" t="str">
            <v>--</v>
          </cell>
          <cell r="AQ295" t="str">
            <v>--</v>
          </cell>
          <cell r="AR295" t="str">
            <v>--</v>
          </cell>
          <cell r="AS295" t="str">
            <v>--</v>
          </cell>
          <cell r="AT295" t="str">
            <v>--</v>
          </cell>
          <cell r="AU295" t="str">
            <v>--</v>
          </cell>
          <cell r="AV295" t="str">
            <v>--</v>
          </cell>
          <cell r="AW295" t="str">
            <v>--</v>
          </cell>
          <cell r="AX295" t="str">
            <v>--</v>
          </cell>
          <cell r="AY295" t="str">
            <v>--</v>
          </cell>
          <cell r="AZ295" t="str">
            <v>--</v>
          </cell>
          <cell r="BA295" t="str">
            <v>--</v>
          </cell>
          <cell r="BB295" t="str">
            <v>--</v>
          </cell>
          <cell r="BC295" t="str">
            <v>--</v>
          </cell>
          <cell r="BD295" t="str">
            <v>--</v>
          </cell>
          <cell r="BE295" t="str">
            <v>--</v>
          </cell>
          <cell r="BF295" t="str">
            <v>--</v>
          </cell>
          <cell r="BG295" t="str">
            <v>--</v>
          </cell>
          <cell r="BH295" t="str">
            <v>--</v>
          </cell>
          <cell r="BI295" t="str">
            <v>--</v>
          </cell>
          <cell r="BJ295" t="str">
            <v>--</v>
          </cell>
          <cell r="BK295" t="str">
            <v>--</v>
          </cell>
          <cell r="BL295" t="str">
            <v>--</v>
          </cell>
          <cell r="BM295" t="str">
            <v>--</v>
          </cell>
          <cell r="BN295">
            <v>45</v>
          </cell>
          <cell r="BO295">
            <v>51</v>
          </cell>
          <cell r="BP295">
            <v>44</v>
          </cell>
          <cell r="BQ295">
            <v>51</v>
          </cell>
          <cell r="BR295">
            <v>49</v>
          </cell>
          <cell r="BS295">
            <v>60</v>
          </cell>
          <cell r="BT295">
            <v>60</v>
          </cell>
          <cell r="BU295">
            <v>60</v>
          </cell>
          <cell r="BV295">
            <v>60</v>
          </cell>
          <cell r="BW295">
            <v>46</v>
          </cell>
          <cell r="BX295">
            <v>51</v>
          </cell>
          <cell r="BY295">
            <v>47</v>
          </cell>
          <cell r="BZ295">
            <v>51</v>
          </cell>
          <cell r="CA295">
            <v>22.5</v>
          </cell>
          <cell r="CB295">
            <v>37</v>
          </cell>
          <cell r="CC295">
            <v>51.5</v>
          </cell>
          <cell r="CD295">
            <v>60</v>
          </cell>
          <cell r="CE295">
            <v>60</v>
          </cell>
          <cell r="CF295">
            <v>28</v>
          </cell>
          <cell r="CG295">
            <v>25.2</v>
          </cell>
          <cell r="CH295">
            <v>25.2</v>
          </cell>
          <cell r="CI295">
            <v>22.7</v>
          </cell>
          <cell r="CJ295">
            <v>23.4</v>
          </cell>
          <cell r="CK295">
            <v>21.1</v>
          </cell>
          <cell r="CL295">
            <v>19</v>
          </cell>
          <cell r="CM295">
            <v>17.100000000000001</v>
          </cell>
          <cell r="CN295">
            <v>15.4</v>
          </cell>
          <cell r="CO295">
            <v>31.1</v>
          </cell>
          <cell r="CP295">
            <v>28</v>
          </cell>
          <cell r="CQ295">
            <v>27</v>
          </cell>
          <cell r="CR295">
            <v>24.3</v>
          </cell>
          <cell r="CS295">
            <v>25.5</v>
          </cell>
          <cell r="CT295">
            <v>23</v>
          </cell>
          <cell r="CU295">
            <v>20.7</v>
          </cell>
          <cell r="CV295">
            <v>18.600000000000001</v>
          </cell>
          <cell r="CW295">
            <v>16.7</v>
          </cell>
          <cell r="CX295">
            <v>41</v>
          </cell>
          <cell r="CY295">
            <v>36.9</v>
          </cell>
          <cell r="CZ295">
            <v>47.7</v>
          </cell>
          <cell r="DA295">
            <v>42.9</v>
          </cell>
          <cell r="DB295">
            <v>36.1</v>
          </cell>
          <cell r="DC295">
            <v>32.5</v>
          </cell>
          <cell r="DD295">
            <v>29.2</v>
          </cell>
          <cell r="DE295">
            <v>26.3</v>
          </cell>
          <cell r="DF295">
            <v>23.7</v>
          </cell>
          <cell r="DG295">
            <v>0.8</v>
          </cell>
          <cell r="DH295">
            <v>0.9</v>
          </cell>
          <cell r="DI295">
            <v>0.9</v>
          </cell>
          <cell r="DJ295">
            <v>1</v>
          </cell>
          <cell r="DK295">
            <v>1.8</v>
          </cell>
          <cell r="DL295">
            <v>2</v>
          </cell>
          <cell r="DM295">
            <v>2.2000000000000002</v>
          </cell>
          <cell r="DN295">
            <v>2.4</v>
          </cell>
          <cell r="DO295">
            <v>2.6</v>
          </cell>
          <cell r="DP295">
            <v>9</v>
          </cell>
          <cell r="DQ295">
            <v>9.9</v>
          </cell>
          <cell r="DR295">
            <v>11.7</v>
          </cell>
          <cell r="DS295">
            <v>12.9</v>
          </cell>
          <cell r="DT295">
            <v>3.6</v>
          </cell>
          <cell r="DU295">
            <v>4</v>
          </cell>
          <cell r="DV295">
            <v>4.4000000000000004</v>
          </cell>
          <cell r="DW295">
            <v>4.8</v>
          </cell>
          <cell r="DX295">
            <v>5.3</v>
          </cell>
          <cell r="DY295">
            <v>0</v>
          </cell>
          <cell r="DZ295">
            <v>1</v>
          </cell>
          <cell r="EA295">
            <v>0</v>
          </cell>
          <cell r="EB295">
            <v>1</v>
          </cell>
          <cell r="EC295">
            <v>0</v>
          </cell>
          <cell r="ED295">
            <v>1</v>
          </cell>
          <cell r="EE295">
            <v>1.1000000000000001</v>
          </cell>
          <cell r="EF295">
            <v>1.2</v>
          </cell>
          <cell r="EG295">
            <v>1.3</v>
          </cell>
        </row>
        <row r="296">
          <cell r="A296" t="str">
            <v>02810030Hispanic/Latino</v>
          </cell>
          <cell r="B296" t="str">
            <v>02810030H</v>
          </cell>
          <cell r="C296" t="str">
            <v>0281</v>
          </cell>
          <cell r="D296" t="str">
            <v>02810030</v>
          </cell>
          <cell r="E296" t="str">
            <v>Springfield</v>
          </cell>
          <cell r="F296" t="str">
            <v>Elias Brookings</v>
          </cell>
          <cell r="G296" t="str">
            <v>ES</v>
          </cell>
          <cell r="H296" t="str">
            <v>Springfield - Elias Brookings (02810030)</v>
          </cell>
          <cell r="I296" t="str">
            <v>Hispanic/Latino</v>
          </cell>
          <cell r="J296" t="str">
            <v>02810030Hispanic/Latino</v>
          </cell>
          <cell r="K296" t="str">
            <v>--</v>
          </cell>
          <cell r="L296">
            <v>58.5</v>
          </cell>
          <cell r="M296">
            <v>62</v>
          </cell>
          <cell r="N296">
            <v>57.7</v>
          </cell>
          <cell r="O296">
            <v>65.400000000000006</v>
          </cell>
          <cell r="P296">
            <v>59.7</v>
          </cell>
          <cell r="Q296">
            <v>70.2</v>
          </cell>
          <cell r="R296">
            <v>73.599999999999994</v>
          </cell>
          <cell r="S296">
            <v>77.099999999999994</v>
          </cell>
          <cell r="T296">
            <v>80.599999999999994</v>
          </cell>
          <cell r="U296">
            <v>57</v>
          </cell>
          <cell r="V296">
            <v>60.6</v>
          </cell>
          <cell r="W296">
            <v>59.2</v>
          </cell>
          <cell r="X296">
            <v>64.2</v>
          </cell>
          <cell r="Y296">
            <v>63.2</v>
          </cell>
          <cell r="Z296">
            <v>69.099999999999994</v>
          </cell>
          <cell r="AA296">
            <v>72.599999999999994</v>
          </cell>
          <cell r="AB296">
            <v>76.2</v>
          </cell>
          <cell r="AC296">
            <v>79.8</v>
          </cell>
          <cell r="AD296">
            <v>45.8</v>
          </cell>
          <cell r="AE296">
            <v>50.3</v>
          </cell>
          <cell r="AF296">
            <v>44.8</v>
          </cell>
          <cell r="AG296">
            <v>54.8</v>
          </cell>
          <cell r="AH296">
            <v>55.7</v>
          </cell>
          <cell r="AI296">
            <v>60.7</v>
          </cell>
          <cell r="AJ296">
            <v>65.2</v>
          </cell>
          <cell r="AK296">
            <v>69.7</v>
          </cell>
          <cell r="AL296">
            <v>74.2</v>
          </cell>
          <cell r="AM296" t="str">
            <v>--</v>
          </cell>
          <cell r="AN296" t="str">
            <v>--</v>
          </cell>
          <cell r="AO296" t="str">
            <v>--</v>
          </cell>
          <cell r="AP296" t="str">
            <v>--</v>
          </cell>
          <cell r="AQ296" t="str">
            <v>--</v>
          </cell>
          <cell r="AR296" t="str">
            <v>--</v>
          </cell>
          <cell r="AS296" t="str">
            <v>--</v>
          </cell>
          <cell r="AT296" t="str">
            <v>--</v>
          </cell>
          <cell r="AU296" t="str">
            <v>--</v>
          </cell>
          <cell r="AV296" t="str">
            <v>--</v>
          </cell>
          <cell r="AW296" t="str">
            <v>--</v>
          </cell>
          <cell r="AX296" t="str">
            <v>--</v>
          </cell>
          <cell r="AY296" t="str">
            <v>--</v>
          </cell>
          <cell r="AZ296" t="str">
            <v>--</v>
          </cell>
          <cell r="BA296" t="str">
            <v>--</v>
          </cell>
          <cell r="BB296" t="str">
            <v>--</v>
          </cell>
          <cell r="BC296" t="str">
            <v>--</v>
          </cell>
          <cell r="BD296" t="str">
            <v>--</v>
          </cell>
          <cell r="BE296" t="str">
            <v>--</v>
          </cell>
          <cell r="BF296" t="str">
            <v>--</v>
          </cell>
          <cell r="BG296" t="str">
            <v>--</v>
          </cell>
          <cell r="BH296" t="str">
            <v>--</v>
          </cell>
          <cell r="BI296" t="str">
            <v>--</v>
          </cell>
          <cell r="BJ296" t="str">
            <v>--</v>
          </cell>
          <cell r="BK296" t="str">
            <v>--</v>
          </cell>
          <cell r="BL296" t="str">
            <v>--</v>
          </cell>
          <cell r="BM296" t="str">
            <v>--</v>
          </cell>
          <cell r="BN296">
            <v>42</v>
          </cell>
          <cell r="BO296">
            <v>51</v>
          </cell>
          <cell r="BP296">
            <v>44.5</v>
          </cell>
          <cell r="BQ296">
            <v>51</v>
          </cell>
          <cell r="BR296">
            <v>46</v>
          </cell>
          <cell r="BS296">
            <v>60</v>
          </cell>
          <cell r="BT296">
            <v>60</v>
          </cell>
          <cell r="BU296">
            <v>60</v>
          </cell>
          <cell r="BV296">
            <v>60</v>
          </cell>
          <cell r="BW296">
            <v>47</v>
          </cell>
          <cell r="BX296">
            <v>51</v>
          </cell>
          <cell r="BY296">
            <v>50.5</v>
          </cell>
          <cell r="BZ296">
            <v>51</v>
          </cell>
          <cell r="CA296">
            <v>26</v>
          </cell>
          <cell r="CB296">
            <v>40.5</v>
          </cell>
          <cell r="CC296">
            <v>55</v>
          </cell>
          <cell r="CD296">
            <v>60</v>
          </cell>
          <cell r="CE296">
            <v>60</v>
          </cell>
          <cell r="CF296">
            <v>31</v>
          </cell>
          <cell r="CG296">
            <v>27.9</v>
          </cell>
          <cell r="CH296">
            <v>29.4</v>
          </cell>
          <cell r="CI296">
            <v>26.5</v>
          </cell>
          <cell r="CJ296">
            <v>26</v>
          </cell>
          <cell r="CK296">
            <v>23.4</v>
          </cell>
          <cell r="CL296">
            <v>21.1</v>
          </cell>
          <cell r="CM296">
            <v>19</v>
          </cell>
          <cell r="CN296">
            <v>17.100000000000001</v>
          </cell>
          <cell r="CO296">
            <v>36.799999999999997</v>
          </cell>
          <cell r="CP296">
            <v>33.1</v>
          </cell>
          <cell r="CQ296">
            <v>36.799999999999997</v>
          </cell>
          <cell r="CR296">
            <v>33.1</v>
          </cell>
          <cell r="CS296">
            <v>23.7</v>
          </cell>
          <cell r="CT296">
            <v>21.3</v>
          </cell>
          <cell r="CU296">
            <v>19.2</v>
          </cell>
          <cell r="CV296">
            <v>17.3</v>
          </cell>
          <cell r="CW296">
            <v>15.5</v>
          </cell>
          <cell r="CX296">
            <v>45.8</v>
          </cell>
          <cell r="CY296">
            <v>41.2</v>
          </cell>
          <cell r="CZ296">
            <v>58.3</v>
          </cell>
          <cell r="DA296">
            <v>52.5</v>
          </cell>
          <cell r="DB296">
            <v>40.9</v>
          </cell>
          <cell r="DC296">
            <v>36.799999999999997</v>
          </cell>
          <cell r="DD296">
            <v>33.1</v>
          </cell>
          <cell r="DE296">
            <v>29.8</v>
          </cell>
          <cell r="DF296">
            <v>26.8</v>
          </cell>
          <cell r="DG296">
            <v>1.4</v>
          </cell>
          <cell r="DH296">
            <v>1.5</v>
          </cell>
          <cell r="DI296">
            <v>1.5</v>
          </cell>
          <cell r="DJ296">
            <v>1.7</v>
          </cell>
          <cell r="DK296">
            <v>2.6</v>
          </cell>
          <cell r="DL296">
            <v>2.9</v>
          </cell>
          <cell r="DM296">
            <v>3.1</v>
          </cell>
          <cell r="DN296">
            <v>3.5</v>
          </cell>
          <cell r="DO296">
            <v>3.8</v>
          </cell>
          <cell r="DP296">
            <v>5.9</v>
          </cell>
          <cell r="DQ296">
            <v>6.5</v>
          </cell>
          <cell r="DR296">
            <v>10.3</v>
          </cell>
          <cell r="DS296">
            <v>11.3</v>
          </cell>
          <cell r="DT296">
            <v>3.9</v>
          </cell>
          <cell r="DU296">
            <v>4.3</v>
          </cell>
          <cell r="DV296">
            <v>4.7</v>
          </cell>
          <cell r="DW296">
            <v>5.2</v>
          </cell>
          <cell r="DX296">
            <v>5.7</v>
          </cell>
          <cell r="DY296">
            <v>0</v>
          </cell>
          <cell r="DZ296">
            <v>1</v>
          </cell>
          <cell r="EA296">
            <v>0</v>
          </cell>
          <cell r="EB296">
            <v>1</v>
          </cell>
          <cell r="EC296">
            <v>0</v>
          </cell>
          <cell r="ED296">
            <v>1</v>
          </cell>
          <cell r="EE296">
            <v>1.1000000000000001</v>
          </cell>
          <cell r="EF296">
            <v>1.2</v>
          </cell>
          <cell r="EG296">
            <v>1.3</v>
          </cell>
        </row>
        <row r="297">
          <cell r="A297" t="str">
            <v>02810030ELL and Former ELL</v>
          </cell>
          <cell r="B297" t="str">
            <v>02810030L</v>
          </cell>
          <cell r="C297" t="str">
            <v>0281</v>
          </cell>
          <cell r="D297" t="str">
            <v>02810030</v>
          </cell>
          <cell r="E297" t="str">
            <v>Springfield</v>
          </cell>
          <cell r="F297" t="str">
            <v>Elias Brookings</v>
          </cell>
          <cell r="G297" t="str">
            <v>ES</v>
          </cell>
          <cell r="H297" t="str">
            <v>Springfield - Elias Brookings (02810030)</v>
          </cell>
          <cell r="I297" t="str">
            <v>ELL and Former ELL</v>
          </cell>
          <cell r="J297" t="str">
            <v>02810030ELL and Former ELL</v>
          </cell>
          <cell r="K297" t="str">
            <v>--</v>
          </cell>
          <cell r="L297">
            <v>60.8</v>
          </cell>
          <cell r="M297">
            <v>64.099999999999994</v>
          </cell>
          <cell r="N297">
            <v>59.1</v>
          </cell>
          <cell r="O297">
            <v>67.3</v>
          </cell>
          <cell r="P297">
            <v>56.4</v>
          </cell>
          <cell r="Q297">
            <v>71.900000000000006</v>
          </cell>
          <cell r="R297">
            <v>75.2</v>
          </cell>
          <cell r="S297">
            <v>78.400000000000006</v>
          </cell>
          <cell r="T297">
            <v>81.7</v>
          </cell>
          <cell r="U297">
            <v>59.8</v>
          </cell>
          <cell r="V297">
            <v>63.2</v>
          </cell>
          <cell r="W297">
            <v>62.9</v>
          </cell>
          <cell r="X297">
            <v>66.5</v>
          </cell>
          <cell r="Y297">
            <v>59.9</v>
          </cell>
          <cell r="Z297">
            <v>71.2</v>
          </cell>
          <cell r="AA297">
            <v>74.5</v>
          </cell>
          <cell r="AB297">
            <v>77.900000000000006</v>
          </cell>
          <cell r="AC297">
            <v>81.2</v>
          </cell>
          <cell r="AD297" t="str">
            <v>--</v>
          </cell>
          <cell r="AE297" t="str">
            <v>--</v>
          </cell>
          <cell r="AF297" t="str">
            <v>--</v>
          </cell>
          <cell r="AG297" t="str">
            <v>--</v>
          </cell>
          <cell r="AH297" t="str">
            <v>--</v>
          </cell>
          <cell r="AI297" t="str">
            <v>--</v>
          </cell>
          <cell r="AJ297" t="str">
            <v>--</v>
          </cell>
          <cell r="AK297" t="str">
            <v>--</v>
          </cell>
          <cell r="AL297" t="str">
            <v>--</v>
          </cell>
          <cell r="AM297" t="str">
            <v>--</v>
          </cell>
          <cell r="AN297" t="str">
            <v>--</v>
          </cell>
          <cell r="AO297" t="str">
            <v>--</v>
          </cell>
          <cell r="AP297" t="str">
            <v>--</v>
          </cell>
          <cell r="AQ297" t="str">
            <v>--</v>
          </cell>
          <cell r="AR297" t="str">
            <v>--</v>
          </cell>
          <cell r="AS297" t="str">
            <v>--</v>
          </cell>
          <cell r="AT297" t="str">
            <v>--</v>
          </cell>
          <cell r="AU297" t="str">
            <v>--</v>
          </cell>
          <cell r="AV297" t="str">
            <v>--</v>
          </cell>
          <cell r="AW297" t="str">
            <v>--</v>
          </cell>
          <cell r="AX297" t="str">
            <v>--</v>
          </cell>
          <cell r="AY297" t="str">
            <v>--</v>
          </cell>
          <cell r="AZ297" t="str">
            <v>--</v>
          </cell>
          <cell r="BA297" t="str">
            <v>--</v>
          </cell>
          <cell r="BB297" t="str">
            <v>--</v>
          </cell>
          <cell r="BC297" t="str">
            <v>--</v>
          </cell>
          <cell r="BD297" t="str">
            <v>--</v>
          </cell>
          <cell r="BE297" t="str">
            <v>--</v>
          </cell>
          <cell r="BF297" t="str">
            <v>--</v>
          </cell>
          <cell r="BG297" t="str">
            <v>--</v>
          </cell>
          <cell r="BH297" t="str">
            <v>--</v>
          </cell>
          <cell r="BI297" t="str">
            <v>--</v>
          </cell>
          <cell r="BJ297" t="str">
            <v>--</v>
          </cell>
          <cell r="BK297" t="str">
            <v>--</v>
          </cell>
          <cell r="BL297" t="str">
            <v>--</v>
          </cell>
          <cell r="BM297" t="str">
            <v>--</v>
          </cell>
          <cell r="BN297" t="str">
            <v>--</v>
          </cell>
          <cell r="BO297" t="str">
            <v>--</v>
          </cell>
          <cell r="BP297" t="str">
            <v>--</v>
          </cell>
          <cell r="BQ297" t="str">
            <v>--</v>
          </cell>
          <cell r="BR297" t="str">
            <v>--</v>
          </cell>
          <cell r="BS297" t="str">
            <v>--</v>
          </cell>
          <cell r="BT297" t="str">
            <v>--</v>
          </cell>
          <cell r="BU297" t="str">
            <v>--</v>
          </cell>
          <cell r="BV297" t="str">
            <v>--</v>
          </cell>
          <cell r="BW297" t="str">
            <v>--</v>
          </cell>
          <cell r="BX297" t="str">
            <v>--</v>
          </cell>
          <cell r="BY297" t="str">
            <v>--</v>
          </cell>
          <cell r="BZ297" t="str">
            <v>--</v>
          </cell>
          <cell r="CA297" t="str">
            <v>--</v>
          </cell>
          <cell r="CB297" t="str">
            <v>--</v>
          </cell>
          <cell r="CC297" t="str">
            <v>--</v>
          </cell>
          <cell r="CD297" t="str">
            <v>--</v>
          </cell>
          <cell r="CE297" t="str">
            <v>--</v>
          </cell>
          <cell r="CF297">
            <v>26.7</v>
          </cell>
          <cell r="CG297">
            <v>24</v>
          </cell>
          <cell r="CH297">
            <v>33.299999999999997</v>
          </cell>
          <cell r="CI297">
            <v>30</v>
          </cell>
          <cell r="CJ297">
            <v>30.8</v>
          </cell>
          <cell r="CK297">
            <v>27.7</v>
          </cell>
          <cell r="CL297">
            <v>24.9</v>
          </cell>
          <cell r="CM297">
            <v>22.5</v>
          </cell>
          <cell r="CN297">
            <v>20.2</v>
          </cell>
          <cell r="CO297">
            <v>28.6</v>
          </cell>
          <cell r="CP297">
            <v>25.7</v>
          </cell>
          <cell r="CQ297">
            <v>33.299999999999997</v>
          </cell>
          <cell r="CR297">
            <v>30</v>
          </cell>
          <cell r="CS297">
            <v>23.7</v>
          </cell>
          <cell r="CT297">
            <v>21.3</v>
          </cell>
          <cell r="CU297">
            <v>19.2</v>
          </cell>
          <cell r="CV297">
            <v>17.3</v>
          </cell>
          <cell r="CW297">
            <v>15.5</v>
          </cell>
          <cell r="CX297" t="str">
            <v>--</v>
          </cell>
          <cell r="CY297" t="str">
            <v>--</v>
          </cell>
          <cell r="CZ297" t="str">
            <v>--</v>
          </cell>
          <cell r="DA297" t="str">
            <v>--</v>
          </cell>
          <cell r="DB297" t="str">
            <v>--</v>
          </cell>
          <cell r="DC297" t="str">
            <v>--</v>
          </cell>
          <cell r="DD297" t="str">
            <v>--</v>
          </cell>
          <cell r="DE297" t="str">
            <v>--</v>
          </cell>
          <cell r="DF297" t="str">
            <v>--</v>
          </cell>
          <cell r="DG297">
            <v>0</v>
          </cell>
          <cell r="DH297">
            <v>1</v>
          </cell>
          <cell r="DI297">
            <v>0</v>
          </cell>
          <cell r="DJ297">
            <v>1</v>
          </cell>
          <cell r="DK297">
            <v>0</v>
          </cell>
          <cell r="DL297">
            <v>1</v>
          </cell>
          <cell r="DM297">
            <v>1.1000000000000001</v>
          </cell>
          <cell r="DN297">
            <v>1.2</v>
          </cell>
          <cell r="DO297">
            <v>1.3</v>
          </cell>
          <cell r="DP297">
            <v>7.1</v>
          </cell>
          <cell r="DQ297">
            <v>7.8</v>
          </cell>
          <cell r="DR297">
            <v>12.1</v>
          </cell>
          <cell r="DS297">
            <v>13.3</v>
          </cell>
          <cell r="DT297">
            <v>5.3</v>
          </cell>
          <cell r="DU297">
            <v>5.8</v>
          </cell>
          <cell r="DV297">
            <v>6.4</v>
          </cell>
          <cell r="DW297">
            <v>7.1</v>
          </cell>
          <cell r="DX297">
            <v>7.8</v>
          </cell>
          <cell r="DY297" t="str">
            <v>--</v>
          </cell>
          <cell r="DZ297" t="str">
            <v>--</v>
          </cell>
          <cell r="EA297" t="str">
            <v>--</v>
          </cell>
          <cell r="EB297" t="str">
            <v>--</v>
          </cell>
          <cell r="EC297" t="str">
            <v>--</v>
          </cell>
          <cell r="ED297" t="str">
            <v>--</v>
          </cell>
          <cell r="EE297" t="str">
            <v>--</v>
          </cell>
          <cell r="EF297" t="str">
            <v>--</v>
          </cell>
          <cell r="EG297" t="str">
            <v>--</v>
          </cell>
        </row>
        <row r="298">
          <cell r="A298" t="str">
            <v>02810030Multi-race, Non-Hisp./Lat.</v>
          </cell>
          <cell r="B298" t="str">
            <v>02810030M</v>
          </cell>
          <cell r="C298" t="str">
            <v>0281</v>
          </cell>
          <cell r="D298" t="str">
            <v>02810030</v>
          </cell>
          <cell r="E298" t="str">
            <v>Springfield</v>
          </cell>
          <cell r="F298" t="str">
            <v>Elias Brookings</v>
          </cell>
          <cell r="G298" t="str">
            <v>ES</v>
          </cell>
          <cell r="H298" t="str">
            <v>Springfield - Elias Brookings (02810030)</v>
          </cell>
          <cell r="I298" t="str">
            <v>Multi-race, Non-Hisp./Lat.</v>
          </cell>
          <cell r="J298" t="str">
            <v>02810030Multi-race, Non-Hisp./Lat.</v>
          </cell>
          <cell r="K298" t="str">
            <v>Level 4</v>
          </cell>
          <cell r="L298" t="str">
            <v>--</v>
          </cell>
          <cell r="M298" t="str">
            <v>--</v>
          </cell>
          <cell r="N298" t="str">
            <v>--</v>
          </cell>
          <cell r="O298" t="str">
            <v>--</v>
          </cell>
          <cell r="P298" t="str">
            <v>--</v>
          </cell>
          <cell r="Q298" t="str">
            <v>--</v>
          </cell>
          <cell r="R298" t="str">
            <v>--</v>
          </cell>
          <cell r="S298" t="str">
            <v>--</v>
          </cell>
          <cell r="T298" t="str">
            <v>--</v>
          </cell>
          <cell r="U298" t="str">
            <v>--</v>
          </cell>
          <cell r="V298" t="str">
            <v>--</v>
          </cell>
          <cell r="W298" t="str">
            <v>--</v>
          </cell>
          <cell r="X298" t="str">
            <v>--</v>
          </cell>
          <cell r="Y298" t="str">
            <v>--</v>
          </cell>
          <cell r="Z298" t="str">
            <v>--</v>
          </cell>
          <cell r="AA298" t="str">
            <v>--</v>
          </cell>
          <cell r="AB298" t="str">
            <v>--</v>
          </cell>
          <cell r="AC298" t="str">
            <v>--</v>
          </cell>
          <cell r="AD298" t="str">
            <v>--</v>
          </cell>
          <cell r="AE298" t="str">
            <v>--</v>
          </cell>
          <cell r="AF298" t="str">
            <v>--</v>
          </cell>
          <cell r="AG298" t="str">
            <v>--</v>
          </cell>
          <cell r="AH298" t="str">
            <v>--</v>
          </cell>
          <cell r="AI298" t="str">
            <v>--</v>
          </cell>
          <cell r="AJ298" t="str">
            <v>--</v>
          </cell>
          <cell r="AK298" t="str">
            <v>--</v>
          </cell>
          <cell r="AL298" t="str">
            <v>--</v>
          </cell>
          <cell r="AM298" t="str">
            <v>--</v>
          </cell>
          <cell r="AN298" t="str">
            <v>--</v>
          </cell>
          <cell r="AO298" t="str">
            <v>--</v>
          </cell>
          <cell r="AP298" t="str">
            <v>--</v>
          </cell>
          <cell r="AQ298" t="str">
            <v>--</v>
          </cell>
          <cell r="AR298" t="str">
            <v>--</v>
          </cell>
          <cell r="AS298" t="str">
            <v>--</v>
          </cell>
          <cell r="AT298" t="str">
            <v>--</v>
          </cell>
          <cell r="AU298" t="str">
            <v>--</v>
          </cell>
          <cell r="AV298" t="str">
            <v>--</v>
          </cell>
          <cell r="AW298" t="str">
            <v>--</v>
          </cell>
          <cell r="AX298" t="str">
            <v>--</v>
          </cell>
          <cell r="AY298" t="str">
            <v>--</v>
          </cell>
          <cell r="AZ298" t="str">
            <v>--</v>
          </cell>
          <cell r="BA298" t="str">
            <v>--</v>
          </cell>
          <cell r="BB298" t="str">
            <v>--</v>
          </cell>
          <cell r="BC298" t="str">
            <v>--</v>
          </cell>
          <cell r="BD298" t="str">
            <v>--</v>
          </cell>
          <cell r="BE298" t="str">
            <v>--</v>
          </cell>
          <cell r="BF298" t="str">
            <v>--</v>
          </cell>
          <cell r="BG298" t="str">
            <v>--</v>
          </cell>
          <cell r="BH298" t="str">
            <v>--</v>
          </cell>
          <cell r="BI298" t="str">
            <v>--</v>
          </cell>
          <cell r="BJ298" t="str">
            <v>--</v>
          </cell>
          <cell r="BK298" t="str">
            <v>--</v>
          </cell>
          <cell r="BL298" t="str">
            <v>--</v>
          </cell>
          <cell r="BM298" t="str">
            <v>--</v>
          </cell>
          <cell r="BN298" t="str">
            <v>--</v>
          </cell>
          <cell r="BO298" t="str">
            <v>--</v>
          </cell>
          <cell r="BP298" t="str">
            <v>--</v>
          </cell>
          <cell r="BQ298" t="str">
            <v>--</v>
          </cell>
          <cell r="BR298" t="str">
            <v>--</v>
          </cell>
          <cell r="BS298" t="str">
            <v>--</v>
          </cell>
          <cell r="BT298" t="str">
            <v>--</v>
          </cell>
          <cell r="BU298" t="str">
            <v>--</v>
          </cell>
          <cell r="BV298" t="str">
            <v>--</v>
          </cell>
          <cell r="BW298" t="str">
            <v>--</v>
          </cell>
          <cell r="BX298" t="str">
            <v>--</v>
          </cell>
          <cell r="BY298" t="str">
            <v>--</v>
          </cell>
          <cell r="BZ298" t="str">
            <v>--</v>
          </cell>
          <cell r="CA298" t="str">
            <v>--</v>
          </cell>
          <cell r="CB298" t="str">
            <v>--</v>
          </cell>
          <cell r="CC298" t="str">
            <v>--</v>
          </cell>
          <cell r="CD298" t="str">
            <v>--</v>
          </cell>
          <cell r="CE298" t="str">
            <v>--</v>
          </cell>
          <cell r="CF298" t="str">
            <v>--</v>
          </cell>
          <cell r="CG298" t="str">
            <v>--</v>
          </cell>
          <cell r="CH298" t="str">
            <v>--</v>
          </cell>
          <cell r="CI298" t="str">
            <v>--</v>
          </cell>
          <cell r="CJ298" t="str">
            <v>--</v>
          </cell>
          <cell r="CK298" t="str">
            <v>--</v>
          </cell>
          <cell r="CL298" t="str">
            <v>--</v>
          </cell>
          <cell r="CM298" t="str">
            <v>--</v>
          </cell>
          <cell r="CN298" t="str">
            <v>--</v>
          </cell>
          <cell r="CO298" t="str">
            <v>--</v>
          </cell>
          <cell r="CP298" t="str">
            <v>--</v>
          </cell>
          <cell r="CQ298" t="str">
            <v>--</v>
          </cell>
          <cell r="CR298" t="str">
            <v>--</v>
          </cell>
          <cell r="CS298" t="str">
            <v>--</v>
          </cell>
          <cell r="CT298" t="str">
            <v>--</v>
          </cell>
          <cell r="CU298" t="str">
            <v>--</v>
          </cell>
          <cell r="CV298" t="str">
            <v>--</v>
          </cell>
          <cell r="CW298" t="str">
            <v>--</v>
          </cell>
          <cell r="CX298" t="str">
            <v>--</v>
          </cell>
          <cell r="CY298" t="str">
            <v>--</v>
          </cell>
          <cell r="CZ298" t="str">
            <v>--</v>
          </cell>
          <cell r="DA298" t="str">
            <v>--</v>
          </cell>
          <cell r="DB298" t="str">
            <v>--</v>
          </cell>
          <cell r="DC298" t="str">
            <v>--</v>
          </cell>
          <cell r="DD298" t="str">
            <v>--</v>
          </cell>
          <cell r="DE298" t="str">
            <v>--</v>
          </cell>
          <cell r="DF298" t="str">
            <v>--</v>
          </cell>
          <cell r="DG298" t="str">
            <v>--</v>
          </cell>
          <cell r="DH298" t="str">
            <v>--</v>
          </cell>
          <cell r="DI298" t="str">
            <v>--</v>
          </cell>
          <cell r="DJ298" t="str">
            <v>--</v>
          </cell>
          <cell r="DK298" t="str">
            <v>--</v>
          </cell>
          <cell r="DL298" t="str">
            <v>--</v>
          </cell>
          <cell r="DM298" t="str">
            <v>--</v>
          </cell>
          <cell r="DN298" t="str">
            <v>--</v>
          </cell>
          <cell r="DO298" t="str">
            <v>--</v>
          </cell>
          <cell r="DP298" t="str">
            <v>--</v>
          </cell>
          <cell r="DQ298" t="str">
            <v>--</v>
          </cell>
          <cell r="DR298" t="str">
            <v>--</v>
          </cell>
          <cell r="DS298" t="str">
            <v>--</v>
          </cell>
          <cell r="DT298" t="str">
            <v>--</v>
          </cell>
          <cell r="DU298" t="str">
            <v>--</v>
          </cell>
          <cell r="DV298" t="str">
            <v>--</v>
          </cell>
          <cell r="DW298" t="str">
            <v>--</v>
          </cell>
          <cell r="DX298" t="str">
            <v>--</v>
          </cell>
          <cell r="DY298" t="str">
            <v>--</v>
          </cell>
          <cell r="DZ298" t="str">
            <v>--</v>
          </cell>
          <cell r="EA298" t="str">
            <v>--</v>
          </cell>
          <cell r="EB298" t="str">
            <v>--</v>
          </cell>
          <cell r="EC298" t="str">
            <v>--</v>
          </cell>
          <cell r="ED298" t="str">
            <v>--</v>
          </cell>
          <cell r="EE298" t="str">
            <v>--</v>
          </cell>
          <cell r="EF298" t="str">
            <v>--</v>
          </cell>
          <cell r="EG298" t="str">
            <v>--</v>
          </cell>
        </row>
        <row r="299">
          <cell r="A299" t="str">
            <v>02810030Amer. Ind. or Alaska Nat.</v>
          </cell>
          <cell r="B299" t="str">
            <v>02810030N</v>
          </cell>
          <cell r="C299" t="str">
            <v>0281</v>
          </cell>
          <cell r="D299" t="str">
            <v>02810030</v>
          </cell>
          <cell r="E299" t="str">
            <v>Springfield</v>
          </cell>
          <cell r="F299" t="str">
            <v>Elias Brookings</v>
          </cell>
          <cell r="G299" t="str">
            <v>ES</v>
          </cell>
          <cell r="H299" t="str">
            <v>Springfield - Elias Brookings (02810030)</v>
          </cell>
          <cell r="I299" t="str">
            <v>Amer. Ind. or Alaska Nat.</v>
          </cell>
          <cell r="J299" t="str">
            <v>02810030Amer. Ind. or Alaska Nat.</v>
          </cell>
          <cell r="K299" t="str">
            <v>--</v>
          </cell>
          <cell r="L299" t="str">
            <v>--</v>
          </cell>
          <cell r="M299" t="str">
            <v>--</v>
          </cell>
          <cell r="N299" t="str">
            <v>--</v>
          </cell>
          <cell r="O299" t="str">
            <v>--</v>
          </cell>
          <cell r="P299" t="str">
            <v>--</v>
          </cell>
          <cell r="Q299" t="str">
            <v>--</v>
          </cell>
          <cell r="R299" t="str">
            <v>--</v>
          </cell>
          <cell r="S299" t="str">
            <v>--</v>
          </cell>
          <cell r="T299" t="str">
            <v>--</v>
          </cell>
          <cell r="U299" t="str">
            <v>--</v>
          </cell>
          <cell r="V299" t="str">
            <v>--</v>
          </cell>
          <cell r="W299" t="str">
            <v>--</v>
          </cell>
          <cell r="X299" t="str">
            <v>--</v>
          </cell>
          <cell r="Y299" t="str">
            <v>--</v>
          </cell>
          <cell r="Z299" t="str">
            <v>--</v>
          </cell>
          <cell r="AA299" t="str">
            <v>--</v>
          </cell>
          <cell r="AB299" t="str">
            <v>--</v>
          </cell>
          <cell r="AC299" t="str">
            <v>--</v>
          </cell>
          <cell r="AD299" t="str">
            <v>--</v>
          </cell>
          <cell r="AE299" t="str">
            <v>--</v>
          </cell>
          <cell r="AF299" t="str">
            <v>--</v>
          </cell>
          <cell r="AG299" t="str">
            <v>--</v>
          </cell>
          <cell r="AH299" t="str">
            <v>--</v>
          </cell>
          <cell r="AI299" t="str">
            <v>--</v>
          </cell>
          <cell r="AJ299" t="str">
            <v>--</v>
          </cell>
          <cell r="AK299" t="str">
            <v>--</v>
          </cell>
          <cell r="AL299" t="str">
            <v>--</v>
          </cell>
          <cell r="AM299" t="str">
            <v>--</v>
          </cell>
          <cell r="AN299" t="str">
            <v>--</v>
          </cell>
          <cell r="AO299" t="str">
            <v>--</v>
          </cell>
          <cell r="AP299" t="str">
            <v>--</v>
          </cell>
          <cell r="AQ299" t="str">
            <v>--</v>
          </cell>
          <cell r="AR299" t="str">
            <v>--</v>
          </cell>
          <cell r="AS299" t="str">
            <v>--</v>
          </cell>
          <cell r="AT299" t="str">
            <v>--</v>
          </cell>
          <cell r="AU299" t="str">
            <v>--</v>
          </cell>
          <cell r="AV299" t="str">
            <v>--</v>
          </cell>
          <cell r="AW299" t="str">
            <v>--</v>
          </cell>
          <cell r="AX299" t="str">
            <v>--</v>
          </cell>
          <cell r="AY299" t="str">
            <v>--</v>
          </cell>
          <cell r="AZ299" t="str">
            <v>--</v>
          </cell>
          <cell r="BA299" t="str">
            <v>--</v>
          </cell>
          <cell r="BB299" t="str">
            <v>--</v>
          </cell>
          <cell r="BC299" t="str">
            <v>--</v>
          </cell>
          <cell r="BD299" t="str">
            <v>--</v>
          </cell>
          <cell r="BE299" t="str">
            <v>--</v>
          </cell>
          <cell r="BF299" t="str">
            <v>--</v>
          </cell>
          <cell r="BG299" t="str">
            <v>--</v>
          </cell>
          <cell r="BH299" t="str">
            <v>--</v>
          </cell>
          <cell r="BI299" t="str">
            <v>--</v>
          </cell>
          <cell r="BJ299" t="str">
            <v>--</v>
          </cell>
          <cell r="BK299" t="str">
            <v>--</v>
          </cell>
          <cell r="BL299" t="str">
            <v>--</v>
          </cell>
          <cell r="BM299" t="str">
            <v>--</v>
          </cell>
          <cell r="BN299" t="str">
            <v>--</v>
          </cell>
          <cell r="BO299" t="str">
            <v>--</v>
          </cell>
          <cell r="BP299" t="str">
            <v>--</v>
          </cell>
          <cell r="BQ299" t="str">
            <v>--</v>
          </cell>
          <cell r="BR299" t="str">
            <v>--</v>
          </cell>
          <cell r="BS299" t="str">
            <v>--</v>
          </cell>
          <cell r="BT299" t="str">
            <v>--</v>
          </cell>
          <cell r="BU299" t="str">
            <v>--</v>
          </cell>
          <cell r="BV299" t="str">
            <v>--</v>
          </cell>
          <cell r="BW299" t="str">
            <v>--</v>
          </cell>
          <cell r="BX299" t="str">
            <v>--</v>
          </cell>
          <cell r="BY299" t="str">
            <v>--</v>
          </cell>
          <cell r="BZ299" t="str">
            <v>--</v>
          </cell>
          <cell r="CA299" t="str">
            <v>--</v>
          </cell>
          <cell r="CB299" t="str">
            <v>--</v>
          </cell>
          <cell r="CC299" t="str">
            <v>--</v>
          </cell>
          <cell r="CD299" t="str">
            <v>--</v>
          </cell>
          <cell r="CE299" t="str">
            <v>--</v>
          </cell>
          <cell r="CF299" t="str">
            <v>--</v>
          </cell>
          <cell r="CG299" t="str">
            <v>--</v>
          </cell>
          <cell r="CH299" t="str">
            <v>--</v>
          </cell>
          <cell r="CI299" t="str">
            <v>--</v>
          </cell>
          <cell r="CJ299" t="str">
            <v>--</v>
          </cell>
          <cell r="CK299" t="str">
            <v>--</v>
          </cell>
          <cell r="CL299" t="str">
            <v>--</v>
          </cell>
          <cell r="CM299" t="str">
            <v>--</v>
          </cell>
          <cell r="CN299" t="str">
            <v>--</v>
          </cell>
          <cell r="CO299" t="str">
            <v>--</v>
          </cell>
          <cell r="CP299" t="str">
            <v>--</v>
          </cell>
          <cell r="CQ299" t="str">
            <v>--</v>
          </cell>
          <cell r="CR299" t="str">
            <v>--</v>
          </cell>
          <cell r="CS299" t="str">
            <v>--</v>
          </cell>
          <cell r="CT299" t="str">
            <v>--</v>
          </cell>
          <cell r="CU299" t="str">
            <v>--</v>
          </cell>
          <cell r="CV299" t="str">
            <v>--</v>
          </cell>
          <cell r="CW299" t="str">
            <v>--</v>
          </cell>
          <cell r="CX299" t="str">
            <v>--</v>
          </cell>
          <cell r="CY299" t="str">
            <v>--</v>
          </cell>
          <cell r="CZ299" t="str">
            <v>--</v>
          </cell>
          <cell r="DA299" t="str">
            <v>--</v>
          </cell>
          <cell r="DB299" t="str">
            <v>--</v>
          </cell>
          <cell r="DC299" t="str">
            <v>--</v>
          </cell>
          <cell r="DD299" t="str">
            <v>--</v>
          </cell>
          <cell r="DE299" t="str">
            <v>--</v>
          </cell>
          <cell r="DF299" t="str">
            <v>--</v>
          </cell>
          <cell r="DG299" t="str">
            <v>--</v>
          </cell>
          <cell r="DH299" t="str">
            <v>--</v>
          </cell>
          <cell r="DI299" t="str">
            <v>--</v>
          </cell>
          <cell r="DJ299" t="str">
            <v>--</v>
          </cell>
          <cell r="DK299" t="str">
            <v>--</v>
          </cell>
          <cell r="DL299" t="str">
            <v>--</v>
          </cell>
          <cell r="DM299" t="str">
            <v>--</v>
          </cell>
          <cell r="DN299" t="str">
            <v>--</v>
          </cell>
          <cell r="DO299" t="str">
            <v>--</v>
          </cell>
          <cell r="DP299" t="str">
            <v>--</v>
          </cell>
          <cell r="DQ299" t="str">
            <v>--</v>
          </cell>
          <cell r="DR299" t="str">
            <v>--</v>
          </cell>
          <cell r="DS299" t="str">
            <v>--</v>
          </cell>
          <cell r="DT299" t="str">
            <v>--</v>
          </cell>
          <cell r="DU299" t="str">
            <v>--</v>
          </cell>
          <cell r="DV299" t="str">
            <v>--</v>
          </cell>
          <cell r="DW299" t="str">
            <v>--</v>
          </cell>
          <cell r="DX299" t="str">
            <v>--</v>
          </cell>
          <cell r="DY299" t="str">
            <v>--</v>
          </cell>
          <cell r="DZ299" t="str">
            <v>--</v>
          </cell>
          <cell r="EA299" t="str">
            <v>--</v>
          </cell>
          <cell r="EB299" t="str">
            <v>--</v>
          </cell>
          <cell r="EC299" t="str">
            <v>--</v>
          </cell>
          <cell r="ED299" t="str">
            <v>--</v>
          </cell>
          <cell r="EE299" t="str">
            <v>--</v>
          </cell>
          <cell r="EF299" t="str">
            <v>--</v>
          </cell>
          <cell r="EG299" t="str">
            <v>--</v>
          </cell>
        </row>
        <row r="300">
          <cell r="A300" t="str">
            <v>02810030Nat. Haw. or Pacif. Isl.</v>
          </cell>
          <cell r="B300" t="str">
            <v>02810030P</v>
          </cell>
          <cell r="C300" t="str">
            <v>0281</v>
          </cell>
          <cell r="D300" t="str">
            <v>02810030</v>
          </cell>
          <cell r="E300" t="str">
            <v>Springfield</v>
          </cell>
          <cell r="F300" t="str">
            <v>Elias Brookings</v>
          </cell>
          <cell r="G300" t="str">
            <v>ES</v>
          </cell>
          <cell r="H300" t="str">
            <v>Springfield - Elias Brookings (02810030)</v>
          </cell>
          <cell r="I300" t="str">
            <v>Nat. Haw. or Pacif. Isl.</v>
          </cell>
          <cell r="J300" t="str">
            <v>02810030Nat. Haw. or Pacif. Isl.</v>
          </cell>
          <cell r="K300" t="str">
            <v>Level 4</v>
          </cell>
          <cell r="L300" t="str">
            <v>--</v>
          </cell>
          <cell r="M300" t="str">
            <v>--</v>
          </cell>
          <cell r="N300" t="str">
            <v>--</v>
          </cell>
          <cell r="O300" t="str">
            <v>--</v>
          </cell>
          <cell r="P300" t="str">
            <v>--</v>
          </cell>
          <cell r="Q300" t="str">
            <v>--</v>
          </cell>
          <cell r="R300" t="str">
            <v>--</v>
          </cell>
          <cell r="S300" t="str">
            <v>--</v>
          </cell>
          <cell r="T300" t="str">
            <v>--</v>
          </cell>
          <cell r="U300" t="str">
            <v>--</v>
          </cell>
          <cell r="V300" t="str">
            <v>--</v>
          </cell>
          <cell r="W300" t="str">
            <v>--</v>
          </cell>
          <cell r="X300" t="str">
            <v>--</v>
          </cell>
          <cell r="Y300" t="str">
            <v>--</v>
          </cell>
          <cell r="Z300" t="str">
            <v>--</v>
          </cell>
          <cell r="AA300" t="str">
            <v>--</v>
          </cell>
          <cell r="AB300" t="str">
            <v>--</v>
          </cell>
          <cell r="AC300" t="str">
            <v>--</v>
          </cell>
          <cell r="AD300" t="str">
            <v>--</v>
          </cell>
          <cell r="AE300" t="str">
            <v>--</v>
          </cell>
          <cell r="AF300" t="str">
            <v>--</v>
          </cell>
          <cell r="AG300" t="str">
            <v>--</v>
          </cell>
          <cell r="AH300" t="str">
            <v>--</v>
          </cell>
          <cell r="AI300" t="str">
            <v>--</v>
          </cell>
          <cell r="AJ300" t="str">
            <v>--</v>
          </cell>
          <cell r="AK300" t="str">
            <v>--</v>
          </cell>
          <cell r="AL300" t="str">
            <v>--</v>
          </cell>
          <cell r="AM300" t="str">
            <v>--</v>
          </cell>
          <cell r="AN300" t="str">
            <v>--</v>
          </cell>
          <cell r="AO300" t="str">
            <v>--</v>
          </cell>
          <cell r="AP300" t="str">
            <v>--</v>
          </cell>
          <cell r="AQ300" t="str">
            <v>--</v>
          </cell>
          <cell r="AR300" t="str">
            <v>--</v>
          </cell>
          <cell r="AS300" t="str">
            <v>--</v>
          </cell>
          <cell r="AT300" t="str">
            <v>--</v>
          </cell>
          <cell r="AU300" t="str">
            <v>--</v>
          </cell>
          <cell r="AV300" t="str">
            <v>--</v>
          </cell>
          <cell r="AW300" t="str">
            <v>--</v>
          </cell>
          <cell r="AX300" t="str">
            <v>--</v>
          </cell>
          <cell r="AY300" t="str">
            <v>--</v>
          </cell>
          <cell r="AZ300" t="str">
            <v>--</v>
          </cell>
          <cell r="BA300" t="str">
            <v>--</v>
          </cell>
          <cell r="BB300" t="str">
            <v>--</v>
          </cell>
          <cell r="BC300" t="str">
            <v>--</v>
          </cell>
          <cell r="BD300" t="str">
            <v>--</v>
          </cell>
          <cell r="BE300" t="str">
            <v>--</v>
          </cell>
          <cell r="BF300" t="str">
            <v>--</v>
          </cell>
          <cell r="BG300" t="str">
            <v>--</v>
          </cell>
          <cell r="BH300" t="str">
            <v>--</v>
          </cell>
          <cell r="BI300" t="str">
            <v>--</v>
          </cell>
          <cell r="BJ300" t="str">
            <v>--</v>
          </cell>
          <cell r="BK300" t="str">
            <v>--</v>
          </cell>
          <cell r="BL300" t="str">
            <v>--</v>
          </cell>
          <cell r="BM300" t="str">
            <v>--</v>
          </cell>
          <cell r="BN300" t="str">
            <v>--</v>
          </cell>
          <cell r="BO300" t="str">
            <v>--</v>
          </cell>
          <cell r="BP300" t="str">
            <v>--</v>
          </cell>
          <cell r="BQ300" t="str">
            <v>--</v>
          </cell>
          <cell r="BR300" t="str">
            <v>--</v>
          </cell>
          <cell r="BS300" t="str">
            <v>--</v>
          </cell>
          <cell r="BT300" t="str">
            <v>--</v>
          </cell>
          <cell r="BU300" t="str">
            <v>--</v>
          </cell>
          <cell r="BV300" t="str">
            <v>--</v>
          </cell>
          <cell r="BW300" t="str">
            <v>--</v>
          </cell>
          <cell r="BX300" t="str">
            <v>--</v>
          </cell>
          <cell r="BY300" t="str">
            <v>--</v>
          </cell>
          <cell r="BZ300" t="str">
            <v>--</v>
          </cell>
          <cell r="CA300" t="str">
            <v>--</v>
          </cell>
          <cell r="CB300" t="str">
            <v>--</v>
          </cell>
          <cell r="CC300" t="str">
            <v>--</v>
          </cell>
          <cell r="CD300" t="str">
            <v>--</v>
          </cell>
          <cell r="CE300" t="str">
            <v>--</v>
          </cell>
          <cell r="CF300" t="str">
            <v>--</v>
          </cell>
          <cell r="CG300" t="str">
            <v>--</v>
          </cell>
          <cell r="CH300" t="str">
            <v>--</v>
          </cell>
          <cell r="CI300" t="str">
            <v>--</v>
          </cell>
          <cell r="CJ300" t="str">
            <v>--</v>
          </cell>
          <cell r="CK300" t="str">
            <v>--</v>
          </cell>
          <cell r="CL300" t="str">
            <v>--</v>
          </cell>
          <cell r="CM300" t="str">
            <v>--</v>
          </cell>
          <cell r="CN300" t="str">
            <v>--</v>
          </cell>
          <cell r="CO300" t="str">
            <v>--</v>
          </cell>
          <cell r="CP300" t="str">
            <v>--</v>
          </cell>
          <cell r="CQ300" t="str">
            <v>--</v>
          </cell>
          <cell r="CR300" t="str">
            <v>--</v>
          </cell>
          <cell r="CS300" t="str">
            <v>--</v>
          </cell>
          <cell r="CT300" t="str">
            <v>--</v>
          </cell>
          <cell r="CU300" t="str">
            <v>--</v>
          </cell>
          <cell r="CV300" t="str">
            <v>--</v>
          </cell>
          <cell r="CW300" t="str">
            <v>--</v>
          </cell>
          <cell r="CX300" t="str">
            <v>--</v>
          </cell>
          <cell r="CY300" t="str">
            <v>--</v>
          </cell>
          <cell r="CZ300" t="str">
            <v>--</v>
          </cell>
          <cell r="DA300" t="str">
            <v>--</v>
          </cell>
          <cell r="DB300" t="str">
            <v>--</v>
          </cell>
          <cell r="DC300" t="str">
            <v>--</v>
          </cell>
          <cell r="DD300" t="str">
            <v>--</v>
          </cell>
          <cell r="DE300" t="str">
            <v>--</v>
          </cell>
          <cell r="DF300" t="str">
            <v>--</v>
          </cell>
          <cell r="DG300" t="str">
            <v>--</v>
          </cell>
          <cell r="DH300" t="str">
            <v>--</v>
          </cell>
          <cell r="DI300" t="str">
            <v>--</v>
          </cell>
          <cell r="DJ300" t="str">
            <v>--</v>
          </cell>
          <cell r="DK300" t="str">
            <v>--</v>
          </cell>
          <cell r="DL300" t="str">
            <v>--</v>
          </cell>
          <cell r="DM300" t="str">
            <v>--</v>
          </cell>
          <cell r="DN300" t="str">
            <v>--</v>
          </cell>
          <cell r="DO300" t="str">
            <v>--</v>
          </cell>
          <cell r="DP300" t="str">
            <v>--</v>
          </cell>
          <cell r="DQ300" t="str">
            <v>--</v>
          </cell>
          <cell r="DR300" t="str">
            <v>--</v>
          </cell>
          <cell r="DS300" t="str">
            <v>--</v>
          </cell>
          <cell r="DT300" t="str">
            <v>--</v>
          </cell>
          <cell r="DU300" t="str">
            <v>--</v>
          </cell>
          <cell r="DV300" t="str">
            <v>--</v>
          </cell>
          <cell r="DW300" t="str">
            <v>--</v>
          </cell>
          <cell r="DX300" t="str">
            <v>--</v>
          </cell>
          <cell r="DY300" t="str">
            <v>--</v>
          </cell>
          <cell r="DZ300" t="str">
            <v>--</v>
          </cell>
          <cell r="EA300" t="str">
            <v>--</v>
          </cell>
          <cell r="EB300" t="str">
            <v>--</v>
          </cell>
          <cell r="EC300" t="str">
            <v>--</v>
          </cell>
          <cell r="ED300" t="str">
            <v>--</v>
          </cell>
          <cell r="EE300" t="str">
            <v>--</v>
          </cell>
          <cell r="EF300" t="str">
            <v>--</v>
          </cell>
          <cell r="EG300" t="str">
            <v>--</v>
          </cell>
        </row>
        <row r="301">
          <cell r="A301" t="str">
            <v>02810030High needs</v>
          </cell>
          <cell r="B301" t="str">
            <v>02810030S</v>
          </cell>
          <cell r="C301" t="str">
            <v>0281</v>
          </cell>
          <cell r="D301" t="str">
            <v>02810030</v>
          </cell>
          <cell r="E301" t="str">
            <v>Springfield</v>
          </cell>
          <cell r="F301" t="str">
            <v>Elias Brookings</v>
          </cell>
          <cell r="G301" t="str">
            <v>ES</v>
          </cell>
          <cell r="H301" t="str">
            <v>Springfield - Elias Brookings (02810030)</v>
          </cell>
          <cell r="I301" t="str">
            <v>High needs</v>
          </cell>
          <cell r="J301" t="str">
            <v>02810030High needs</v>
          </cell>
          <cell r="K301" t="str">
            <v>Level 4</v>
          </cell>
          <cell r="L301">
            <v>62.8</v>
          </cell>
          <cell r="M301">
            <v>65.900000000000006</v>
          </cell>
          <cell r="N301">
            <v>63.5</v>
          </cell>
          <cell r="O301">
            <v>69</v>
          </cell>
          <cell r="P301">
            <v>62.2</v>
          </cell>
          <cell r="Q301">
            <v>73.400000000000006</v>
          </cell>
          <cell r="R301">
            <v>76.5</v>
          </cell>
          <cell r="S301">
            <v>79.599999999999994</v>
          </cell>
          <cell r="T301">
            <v>82.7</v>
          </cell>
          <cell r="U301">
            <v>62.1</v>
          </cell>
          <cell r="V301">
            <v>65.3</v>
          </cell>
          <cell r="W301">
            <v>65.3</v>
          </cell>
          <cell r="X301">
            <v>68.400000000000006</v>
          </cell>
          <cell r="Y301">
            <v>62.9</v>
          </cell>
          <cell r="Z301">
            <v>72.900000000000006</v>
          </cell>
          <cell r="AA301">
            <v>76</v>
          </cell>
          <cell r="AB301">
            <v>79.2</v>
          </cell>
          <cell r="AC301">
            <v>82.4</v>
          </cell>
          <cell r="AD301">
            <v>51.9</v>
          </cell>
          <cell r="AE301">
            <v>55.9</v>
          </cell>
          <cell r="AF301">
            <v>50.6</v>
          </cell>
          <cell r="AG301">
            <v>59.9</v>
          </cell>
          <cell r="AH301">
            <v>55.9</v>
          </cell>
          <cell r="AI301">
            <v>65.2</v>
          </cell>
          <cell r="AJ301">
            <v>69.2</v>
          </cell>
          <cell r="AK301">
            <v>73.2</v>
          </cell>
          <cell r="AL301">
            <v>77.3</v>
          </cell>
          <cell r="AM301" t="str">
            <v>--</v>
          </cell>
          <cell r="AN301" t="str">
            <v>--</v>
          </cell>
          <cell r="AO301" t="str">
            <v>--</v>
          </cell>
          <cell r="AP301" t="str">
            <v>--</v>
          </cell>
          <cell r="AQ301" t="str">
            <v>--</v>
          </cell>
          <cell r="AR301" t="str">
            <v>--</v>
          </cell>
          <cell r="AS301" t="str">
            <v>--</v>
          </cell>
          <cell r="AT301" t="str">
            <v>--</v>
          </cell>
          <cell r="AU301" t="str">
            <v>--</v>
          </cell>
          <cell r="AV301" t="str">
            <v>--</v>
          </cell>
          <cell r="AW301" t="str">
            <v>--</v>
          </cell>
          <cell r="AX301" t="str">
            <v>--</v>
          </cell>
          <cell r="AY301" t="str">
            <v>--</v>
          </cell>
          <cell r="AZ301" t="str">
            <v>--</v>
          </cell>
          <cell r="BA301" t="str">
            <v>--</v>
          </cell>
          <cell r="BB301" t="str">
            <v>--</v>
          </cell>
          <cell r="BC301" t="str">
            <v>--</v>
          </cell>
          <cell r="BD301" t="str">
            <v>--</v>
          </cell>
          <cell r="BE301" t="str">
            <v>--</v>
          </cell>
          <cell r="BF301" t="str">
            <v>--</v>
          </cell>
          <cell r="BG301" t="str">
            <v>--</v>
          </cell>
          <cell r="BH301" t="str">
            <v>--</v>
          </cell>
          <cell r="BI301" t="str">
            <v>--</v>
          </cell>
          <cell r="BJ301" t="str">
            <v>--</v>
          </cell>
          <cell r="BK301" t="str">
            <v>--</v>
          </cell>
          <cell r="BL301" t="str">
            <v>--</v>
          </cell>
          <cell r="BM301" t="str">
            <v>--</v>
          </cell>
          <cell r="BN301">
            <v>45</v>
          </cell>
          <cell r="BO301">
            <v>51</v>
          </cell>
          <cell r="BP301">
            <v>44</v>
          </cell>
          <cell r="BQ301">
            <v>51</v>
          </cell>
          <cell r="BR301">
            <v>47</v>
          </cell>
          <cell r="BS301">
            <v>60</v>
          </cell>
          <cell r="BT301">
            <v>60</v>
          </cell>
          <cell r="BU301">
            <v>60</v>
          </cell>
          <cell r="BV301">
            <v>60</v>
          </cell>
          <cell r="BW301">
            <v>46.5</v>
          </cell>
          <cell r="BX301">
            <v>51</v>
          </cell>
          <cell r="BY301">
            <v>47</v>
          </cell>
          <cell r="BZ301">
            <v>51</v>
          </cell>
          <cell r="CA301">
            <v>24</v>
          </cell>
          <cell r="CB301">
            <v>38.5</v>
          </cell>
          <cell r="CC301">
            <v>53</v>
          </cell>
          <cell r="CD301">
            <v>60</v>
          </cell>
          <cell r="CE301">
            <v>60</v>
          </cell>
          <cell r="CF301">
            <v>27.6</v>
          </cell>
          <cell r="CG301">
            <v>24.8</v>
          </cell>
          <cell r="CH301">
            <v>24.8</v>
          </cell>
          <cell r="CI301">
            <v>22.3</v>
          </cell>
          <cell r="CJ301">
            <v>23.9</v>
          </cell>
          <cell r="CK301">
            <v>21.5</v>
          </cell>
          <cell r="CL301">
            <v>19.399999999999999</v>
          </cell>
          <cell r="CM301">
            <v>17.399999999999999</v>
          </cell>
          <cell r="CN301">
            <v>15.7</v>
          </cell>
          <cell r="CO301">
            <v>31.5</v>
          </cell>
          <cell r="CP301">
            <v>28.4</v>
          </cell>
          <cell r="CQ301">
            <v>26.5</v>
          </cell>
          <cell r="CR301">
            <v>23.9</v>
          </cell>
          <cell r="CS301">
            <v>25</v>
          </cell>
          <cell r="CT301">
            <v>22.5</v>
          </cell>
          <cell r="CU301">
            <v>20.3</v>
          </cell>
          <cell r="CV301">
            <v>18.2</v>
          </cell>
          <cell r="CW301">
            <v>16.399999999999999</v>
          </cell>
          <cell r="CX301">
            <v>40</v>
          </cell>
          <cell r="CY301">
            <v>36</v>
          </cell>
          <cell r="CZ301">
            <v>47.7</v>
          </cell>
          <cell r="DA301">
            <v>42.9</v>
          </cell>
          <cell r="DB301">
            <v>36.799999999999997</v>
          </cell>
          <cell r="DC301">
            <v>33.1</v>
          </cell>
          <cell r="DD301">
            <v>29.8</v>
          </cell>
          <cell r="DE301">
            <v>26.8</v>
          </cell>
          <cell r="DF301">
            <v>24.1</v>
          </cell>
          <cell r="DG301">
            <v>0.8</v>
          </cell>
          <cell r="DH301">
            <v>0.9</v>
          </cell>
          <cell r="DI301">
            <v>0.9</v>
          </cell>
          <cell r="DJ301">
            <v>1</v>
          </cell>
          <cell r="DK301">
            <v>1.8</v>
          </cell>
          <cell r="DL301">
            <v>2</v>
          </cell>
          <cell r="DM301">
            <v>2.2000000000000002</v>
          </cell>
          <cell r="DN301">
            <v>2.4</v>
          </cell>
          <cell r="DO301">
            <v>2.6</v>
          </cell>
          <cell r="DP301">
            <v>8.9</v>
          </cell>
          <cell r="DQ301">
            <v>9.8000000000000007</v>
          </cell>
          <cell r="DR301">
            <v>11.5</v>
          </cell>
          <cell r="DS301">
            <v>12.7</v>
          </cell>
          <cell r="DT301">
            <v>4.5</v>
          </cell>
          <cell r="DU301">
            <v>5</v>
          </cell>
          <cell r="DV301">
            <v>5.4</v>
          </cell>
          <cell r="DW301">
            <v>6</v>
          </cell>
          <cell r="DX301">
            <v>6.6</v>
          </cell>
          <cell r="DY301">
            <v>0</v>
          </cell>
          <cell r="DZ301">
            <v>1</v>
          </cell>
          <cell r="EA301">
            <v>0</v>
          </cell>
          <cell r="EB301">
            <v>1</v>
          </cell>
          <cell r="EC301">
            <v>0</v>
          </cell>
          <cell r="ED301">
            <v>1</v>
          </cell>
          <cell r="EE301">
            <v>1.1000000000000001</v>
          </cell>
          <cell r="EF301">
            <v>1.2</v>
          </cell>
          <cell r="EG301">
            <v>1.3</v>
          </cell>
        </row>
        <row r="302">
          <cell r="A302" t="str">
            <v>02810030All students</v>
          </cell>
          <cell r="B302" t="str">
            <v>02810030T</v>
          </cell>
          <cell r="C302" t="str">
            <v>0281</v>
          </cell>
          <cell r="D302" t="str">
            <v>02810030</v>
          </cell>
          <cell r="E302" t="str">
            <v>Springfield</v>
          </cell>
          <cell r="F302" t="str">
            <v>Elias Brookings</v>
          </cell>
          <cell r="G302" t="str">
            <v>ES</v>
          </cell>
          <cell r="H302" t="str">
            <v>Springfield - Elias Brookings (02810030)</v>
          </cell>
          <cell r="I302" t="str">
            <v>All students</v>
          </cell>
          <cell r="J302" t="str">
            <v>02810030All students</v>
          </cell>
          <cell r="K302" t="str">
            <v>Level 4</v>
          </cell>
          <cell r="L302">
            <v>62.2</v>
          </cell>
          <cell r="M302">
            <v>65.400000000000006</v>
          </cell>
          <cell r="N302">
            <v>63.3</v>
          </cell>
          <cell r="O302">
            <v>68.5</v>
          </cell>
          <cell r="P302">
            <v>62.3</v>
          </cell>
          <cell r="Q302">
            <v>73</v>
          </cell>
          <cell r="R302">
            <v>76.099999999999994</v>
          </cell>
          <cell r="S302">
            <v>79.3</v>
          </cell>
          <cell r="T302">
            <v>82.4</v>
          </cell>
          <cell r="U302">
            <v>61.3</v>
          </cell>
          <cell r="V302">
            <v>64.5</v>
          </cell>
          <cell r="W302">
            <v>65</v>
          </cell>
          <cell r="X302">
            <v>67.8</v>
          </cell>
          <cell r="Y302">
            <v>63.9</v>
          </cell>
          <cell r="Z302">
            <v>72.3</v>
          </cell>
          <cell r="AA302">
            <v>75.5</v>
          </cell>
          <cell r="AB302">
            <v>78.7</v>
          </cell>
          <cell r="AC302">
            <v>82</v>
          </cell>
          <cell r="AD302">
            <v>50</v>
          </cell>
          <cell r="AE302">
            <v>54.2</v>
          </cell>
          <cell r="AF302">
            <v>50</v>
          </cell>
          <cell r="AG302">
            <v>58.3</v>
          </cell>
          <cell r="AH302">
            <v>55.9</v>
          </cell>
          <cell r="AI302">
            <v>63.8</v>
          </cell>
          <cell r="AJ302">
            <v>68</v>
          </cell>
          <cell r="AK302">
            <v>72.099999999999994</v>
          </cell>
          <cell r="AL302">
            <v>76.3</v>
          </cell>
          <cell r="AM302" t="str">
            <v>--</v>
          </cell>
          <cell r="AN302" t="str">
            <v>--</v>
          </cell>
          <cell r="AO302" t="str">
            <v>--</v>
          </cell>
          <cell r="AP302" t="str">
            <v>--</v>
          </cell>
          <cell r="AQ302" t="str">
            <v>--</v>
          </cell>
          <cell r="AR302" t="str">
            <v>--</v>
          </cell>
          <cell r="AS302" t="str">
            <v>--</v>
          </cell>
          <cell r="AT302" t="str">
            <v>--</v>
          </cell>
          <cell r="AU302" t="str">
            <v>--</v>
          </cell>
          <cell r="AV302" t="str">
            <v>--</v>
          </cell>
          <cell r="AW302" t="str">
            <v>--</v>
          </cell>
          <cell r="AX302" t="str">
            <v>--</v>
          </cell>
          <cell r="AY302" t="str">
            <v>--</v>
          </cell>
          <cell r="AZ302" t="str">
            <v>--</v>
          </cell>
          <cell r="BA302" t="str">
            <v>--</v>
          </cell>
          <cell r="BB302" t="str">
            <v>--</v>
          </cell>
          <cell r="BC302" t="str">
            <v>--</v>
          </cell>
          <cell r="BD302" t="str">
            <v>--</v>
          </cell>
          <cell r="BE302" t="str">
            <v>--</v>
          </cell>
          <cell r="BF302" t="str">
            <v>--</v>
          </cell>
          <cell r="BG302" t="str">
            <v>--</v>
          </cell>
          <cell r="BH302" t="str">
            <v>--</v>
          </cell>
          <cell r="BI302" t="str">
            <v>--</v>
          </cell>
          <cell r="BJ302" t="str">
            <v>--</v>
          </cell>
          <cell r="BK302" t="str">
            <v>--</v>
          </cell>
          <cell r="BL302" t="str">
            <v>--</v>
          </cell>
          <cell r="BM302" t="str">
            <v>--</v>
          </cell>
          <cell r="BN302">
            <v>47</v>
          </cell>
          <cell r="BO302">
            <v>51</v>
          </cell>
          <cell r="BP302">
            <v>45.5</v>
          </cell>
          <cell r="BQ302">
            <v>51</v>
          </cell>
          <cell r="BR302">
            <v>45</v>
          </cell>
          <cell r="BS302">
            <v>59.5</v>
          </cell>
          <cell r="BT302">
            <v>60</v>
          </cell>
          <cell r="BU302">
            <v>60</v>
          </cell>
          <cell r="BV302">
            <v>60</v>
          </cell>
          <cell r="BW302">
            <v>46.5</v>
          </cell>
          <cell r="BX302">
            <v>51</v>
          </cell>
          <cell r="BY302">
            <v>47</v>
          </cell>
          <cell r="BZ302">
            <v>51</v>
          </cell>
          <cell r="CA302">
            <v>22.5</v>
          </cell>
          <cell r="CB302">
            <v>37</v>
          </cell>
          <cell r="CC302">
            <v>51.5</v>
          </cell>
          <cell r="CD302">
            <v>60</v>
          </cell>
          <cell r="CE302">
            <v>60</v>
          </cell>
          <cell r="CF302">
            <v>27.5</v>
          </cell>
          <cell r="CG302">
            <v>24.8</v>
          </cell>
          <cell r="CH302">
            <v>25.2</v>
          </cell>
          <cell r="CI302">
            <v>22.7</v>
          </cell>
          <cell r="CJ302">
            <v>23.3</v>
          </cell>
          <cell r="CK302">
            <v>21</v>
          </cell>
          <cell r="CL302">
            <v>18.899999999999999</v>
          </cell>
          <cell r="CM302">
            <v>17</v>
          </cell>
          <cell r="CN302">
            <v>15.3</v>
          </cell>
          <cell r="CO302">
            <v>32</v>
          </cell>
          <cell r="CP302">
            <v>28.8</v>
          </cell>
          <cell r="CQ302">
            <v>27</v>
          </cell>
          <cell r="CR302">
            <v>24.3</v>
          </cell>
          <cell r="CS302">
            <v>24.3</v>
          </cell>
          <cell r="CT302">
            <v>21.9</v>
          </cell>
          <cell r="CU302">
            <v>19.7</v>
          </cell>
          <cell r="CV302">
            <v>17.7</v>
          </cell>
          <cell r="CW302">
            <v>15.9</v>
          </cell>
          <cell r="CX302">
            <v>44.2</v>
          </cell>
          <cell r="CY302">
            <v>39.799999999999997</v>
          </cell>
          <cell r="CZ302">
            <v>47.8</v>
          </cell>
          <cell r="DA302">
            <v>43</v>
          </cell>
          <cell r="DB302">
            <v>36.799999999999997</v>
          </cell>
          <cell r="DC302">
            <v>33.1</v>
          </cell>
          <cell r="DD302">
            <v>29.8</v>
          </cell>
          <cell r="DE302">
            <v>26.8</v>
          </cell>
          <cell r="DF302">
            <v>24.1</v>
          </cell>
          <cell r="DG302">
            <v>0.8</v>
          </cell>
          <cell r="DH302">
            <v>0.9</v>
          </cell>
          <cell r="DI302">
            <v>0.9</v>
          </cell>
          <cell r="DJ302">
            <v>1</v>
          </cell>
          <cell r="DK302">
            <v>1.7</v>
          </cell>
          <cell r="DL302">
            <v>1.9</v>
          </cell>
          <cell r="DM302">
            <v>2.1</v>
          </cell>
          <cell r="DN302">
            <v>2.2999999999999998</v>
          </cell>
          <cell r="DO302">
            <v>2.5</v>
          </cell>
          <cell r="DP302">
            <v>8.6</v>
          </cell>
          <cell r="DQ302">
            <v>9.5</v>
          </cell>
          <cell r="DR302">
            <v>11.3</v>
          </cell>
          <cell r="DS302">
            <v>12.4</v>
          </cell>
          <cell r="DT302">
            <v>4.3</v>
          </cell>
          <cell r="DU302">
            <v>4.7</v>
          </cell>
          <cell r="DV302">
            <v>5.2</v>
          </cell>
          <cell r="DW302">
            <v>5.7</v>
          </cell>
          <cell r="DX302">
            <v>6.3</v>
          </cell>
          <cell r="DY302">
            <v>0</v>
          </cell>
          <cell r="DZ302">
            <v>1</v>
          </cell>
          <cell r="EA302">
            <v>0</v>
          </cell>
          <cell r="EB302">
            <v>1</v>
          </cell>
          <cell r="EC302">
            <v>0</v>
          </cell>
          <cell r="ED302">
            <v>1</v>
          </cell>
          <cell r="EE302">
            <v>1.1000000000000001</v>
          </cell>
          <cell r="EF302">
            <v>1.2</v>
          </cell>
          <cell r="EG302">
            <v>1.3</v>
          </cell>
        </row>
        <row r="303">
          <cell r="A303" t="str">
            <v>02810045Asian</v>
          </cell>
          <cell r="B303" t="str">
            <v>02810045A</v>
          </cell>
          <cell r="C303" t="str">
            <v>0281</v>
          </cell>
          <cell r="D303" t="str">
            <v>02810045</v>
          </cell>
          <cell r="E303" t="str">
            <v>Springfield</v>
          </cell>
          <cell r="F303" t="str">
            <v>William N. DeBerry</v>
          </cell>
          <cell r="G303" t="str">
            <v>ES</v>
          </cell>
          <cell r="H303" t="str">
            <v>Springfield - William N. DeBerry (02810045)</v>
          </cell>
          <cell r="I303" t="str">
            <v>Asian</v>
          </cell>
          <cell r="J303" t="str">
            <v>02810045Asian</v>
          </cell>
          <cell r="K303" t="str">
            <v>--</v>
          </cell>
          <cell r="L303" t="str">
            <v>--</v>
          </cell>
          <cell r="M303" t="str">
            <v>--</v>
          </cell>
          <cell r="N303" t="str">
            <v>--</v>
          </cell>
          <cell r="O303" t="str">
            <v>--</v>
          </cell>
          <cell r="P303" t="str">
            <v>--</v>
          </cell>
          <cell r="Q303" t="str">
            <v>--</v>
          </cell>
          <cell r="R303" t="str">
            <v>--</v>
          </cell>
          <cell r="S303" t="str">
            <v>--</v>
          </cell>
          <cell r="T303" t="str">
            <v>--</v>
          </cell>
          <cell r="U303" t="str">
            <v>--</v>
          </cell>
          <cell r="V303" t="str">
            <v>--</v>
          </cell>
          <cell r="W303" t="str">
            <v>--</v>
          </cell>
          <cell r="X303" t="str">
            <v>--</v>
          </cell>
          <cell r="Y303" t="str">
            <v>--</v>
          </cell>
          <cell r="Z303" t="str">
            <v>--</v>
          </cell>
          <cell r="AA303" t="str">
            <v>--</v>
          </cell>
          <cell r="AB303" t="str">
            <v>--</v>
          </cell>
          <cell r="AC303" t="str">
            <v>--</v>
          </cell>
          <cell r="AD303" t="str">
            <v>--</v>
          </cell>
          <cell r="AE303" t="str">
            <v>--</v>
          </cell>
          <cell r="AF303" t="str">
            <v>--</v>
          </cell>
          <cell r="AG303" t="str">
            <v>--</v>
          </cell>
          <cell r="AH303" t="str">
            <v>--</v>
          </cell>
          <cell r="AI303" t="str">
            <v>--</v>
          </cell>
          <cell r="AJ303" t="str">
            <v>--</v>
          </cell>
          <cell r="AK303" t="str">
            <v>--</v>
          </cell>
          <cell r="AL303" t="str">
            <v>--</v>
          </cell>
          <cell r="AM303" t="str">
            <v>--</v>
          </cell>
          <cell r="AN303" t="str">
            <v>--</v>
          </cell>
          <cell r="AO303" t="str">
            <v>--</v>
          </cell>
          <cell r="AP303" t="str">
            <v>--</v>
          </cell>
          <cell r="AQ303" t="str">
            <v>--</v>
          </cell>
          <cell r="AR303" t="str">
            <v>--</v>
          </cell>
          <cell r="AS303" t="str">
            <v>--</v>
          </cell>
          <cell r="AT303" t="str">
            <v>--</v>
          </cell>
          <cell r="AU303" t="str">
            <v>--</v>
          </cell>
          <cell r="AV303" t="str">
            <v>--</v>
          </cell>
          <cell r="AW303" t="str">
            <v>--</v>
          </cell>
          <cell r="AX303" t="str">
            <v>--</v>
          </cell>
          <cell r="AY303" t="str">
            <v>--</v>
          </cell>
          <cell r="AZ303" t="str">
            <v>--</v>
          </cell>
          <cell r="BA303" t="str">
            <v>--</v>
          </cell>
          <cell r="BB303" t="str">
            <v>--</v>
          </cell>
          <cell r="BC303" t="str">
            <v>--</v>
          </cell>
          <cell r="BD303" t="str">
            <v>--</v>
          </cell>
          <cell r="BE303" t="str">
            <v>--</v>
          </cell>
          <cell r="BF303" t="str">
            <v>--</v>
          </cell>
          <cell r="BG303" t="str">
            <v>--</v>
          </cell>
          <cell r="BH303" t="str">
            <v>--</v>
          </cell>
          <cell r="BI303" t="str">
            <v>--</v>
          </cell>
          <cell r="BJ303" t="str">
            <v>--</v>
          </cell>
          <cell r="BK303" t="str">
            <v>--</v>
          </cell>
          <cell r="BL303" t="str">
            <v>--</v>
          </cell>
          <cell r="BM303" t="str">
            <v>--</v>
          </cell>
          <cell r="BN303" t="str">
            <v>--</v>
          </cell>
          <cell r="BO303" t="str">
            <v>--</v>
          </cell>
          <cell r="BP303" t="str">
            <v>--</v>
          </cell>
          <cell r="BQ303" t="str">
            <v>--</v>
          </cell>
          <cell r="BR303" t="str">
            <v>--</v>
          </cell>
          <cell r="BS303" t="str">
            <v>--</v>
          </cell>
          <cell r="BT303" t="str">
            <v>--</v>
          </cell>
          <cell r="BU303" t="str">
            <v>--</v>
          </cell>
          <cell r="BV303" t="str">
            <v>--</v>
          </cell>
          <cell r="BW303" t="str">
            <v>--</v>
          </cell>
          <cell r="BX303" t="str">
            <v>--</v>
          </cell>
          <cell r="BY303" t="str">
            <v>--</v>
          </cell>
          <cell r="BZ303" t="str">
            <v>--</v>
          </cell>
          <cell r="CA303" t="str">
            <v>--</v>
          </cell>
          <cell r="CB303" t="str">
            <v>--</v>
          </cell>
          <cell r="CC303" t="str">
            <v>--</v>
          </cell>
          <cell r="CD303" t="str">
            <v>--</v>
          </cell>
          <cell r="CE303" t="str">
            <v>--</v>
          </cell>
          <cell r="CF303" t="str">
            <v>--</v>
          </cell>
          <cell r="CG303" t="str">
            <v>--</v>
          </cell>
          <cell r="CH303" t="str">
            <v>--</v>
          </cell>
          <cell r="CI303" t="str">
            <v>--</v>
          </cell>
          <cell r="CJ303" t="str">
            <v>--</v>
          </cell>
          <cell r="CK303" t="str">
            <v>--</v>
          </cell>
          <cell r="CL303" t="str">
            <v>--</v>
          </cell>
          <cell r="CM303" t="str">
            <v>--</v>
          </cell>
          <cell r="CN303" t="str">
            <v>--</v>
          </cell>
          <cell r="CO303" t="str">
            <v>--</v>
          </cell>
          <cell r="CP303" t="str">
            <v>--</v>
          </cell>
          <cell r="CQ303" t="str">
            <v>--</v>
          </cell>
          <cell r="CR303" t="str">
            <v>--</v>
          </cell>
          <cell r="CS303" t="str">
            <v>--</v>
          </cell>
          <cell r="CT303" t="str">
            <v>--</v>
          </cell>
          <cell r="CU303" t="str">
            <v>--</v>
          </cell>
          <cell r="CV303" t="str">
            <v>--</v>
          </cell>
          <cell r="CW303" t="str">
            <v>--</v>
          </cell>
          <cell r="CX303" t="str">
            <v>--</v>
          </cell>
          <cell r="CY303" t="str">
            <v>--</v>
          </cell>
          <cell r="CZ303" t="str">
            <v>--</v>
          </cell>
          <cell r="DA303" t="str">
            <v>--</v>
          </cell>
          <cell r="DB303" t="str">
            <v>--</v>
          </cell>
          <cell r="DC303" t="str">
            <v>--</v>
          </cell>
          <cell r="DD303" t="str">
            <v>--</v>
          </cell>
          <cell r="DE303" t="str">
            <v>--</v>
          </cell>
          <cell r="DF303" t="str">
            <v>--</v>
          </cell>
          <cell r="DG303" t="str">
            <v>--</v>
          </cell>
          <cell r="DH303" t="str">
            <v>--</v>
          </cell>
          <cell r="DI303" t="str">
            <v>--</v>
          </cell>
          <cell r="DJ303" t="str">
            <v>--</v>
          </cell>
          <cell r="DK303" t="str">
            <v>--</v>
          </cell>
          <cell r="DL303" t="str">
            <v>--</v>
          </cell>
          <cell r="DM303" t="str">
            <v>--</v>
          </cell>
          <cell r="DN303" t="str">
            <v>--</v>
          </cell>
          <cell r="DO303" t="str">
            <v>--</v>
          </cell>
          <cell r="DP303" t="str">
            <v>--</v>
          </cell>
          <cell r="DQ303" t="str">
            <v>--</v>
          </cell>
          <cell r="DR303" t="str">
            <v>--</v>
          </cell>
          <cell r="DS303" t="str">
            <v>--</v>
          </cell>
          <cell r="DT303" t="str">
            <v>--</v>
          </cell>
          <cell r="DU303" t="str">
            <v>--</v>
          </cell>
          <cell r="DV303" t="str">
            <v>--</v>
          </cell>
          <cell r="DW303" t="str">
            <v>--</v>
          </cell>
          <cell r="DX303" t="str">
            <v>--</v>
          </cell>
          <cell r="DY303" t="str">
            <v>--</v>
          </cell>
          <cell r="DZ303" t="str">
            <v>--</v>
          </cell>
          <cell r="EA303" t="str">
            <v>--</v>
          </cell>
          <cell r="EB303" t="str">
            <v>--</v>
          </cell>
          <cell r="EC303" t="str">
            <v>--</v>
          </cell>
          <cell r="ED303" t="str">
            <v>--</v>
          </cell>
          <cell r="EE303" t="str">
            <v>--</v>
          </cell>
          <cell r="EF303" t="str">
            <v>--</v>
          </cell>
          <cell r="EG303" t="str">
            <v>--</v>
          </cell>
        </row>
        <row r="304">
          <cell r="A304" t="str">
            <v>02810045Afr. Amer/Black</v>
          </cell>
          <cell r="B304" t="str">
            <v>02810045B</v>
          </cell>
          <cell r="C304" t="str">
            <v>0281</v>
          </cell>
          <cell r="D304" t="str">
            <v>02810045</v>
          </cell>
          <cell r="E304" t="str">
            <v>Springfield</v>
          </cell>
          <cell r="F304" t="str">
            <v>William N. DeBerry</v>
          </cell>
          <cell r="G304" t="str">
            <v>ES</v>
          </cell>
          <cell r="H304" t="str">
            <v>Springfield - William N. DeBerry (02810045)</v>
          </cell>
          <cell r="I304" t="str">
            <v>Afr. Amer/Black</v>
          </cell>
          <cell r="J304" t="str">
            <v>02810045Afr. Amer/Black</v>
          </cell>
          <cell r="K304" t="str">
            <v>--</v>
          </cell>
          <cell r="L304">
            <v>59.1</v>
          </cell>
          <cell r="M304">
            <v>62.5</v>
          </cell>
          <cell r="N304">
            <v>68.3</v>
          </cell>
          <cell r="O304">
            <v>65.900000000000006</v>
          </cell>
          <cell r="P304">
            <v>67.5</v>
          </cell>
          <cell r="Q304">
            <v>69.3</v>
          </cell>
          <cell r="R304">
            <v>72.7</v>
          </cell>
          <cell r="S304">
            <v>76.099999999999994</v>
          </cell>
          <cell r="T304">
            <v>79.599999999999994</v>
          </cell>
          <cell r="U304">
            <v>65.2</v>
          </cell>
          <cell r="V304">
            <v>68.099999999999994</v>
          </cell>
          <cell r="W304">
            <v>58.1</v>
          </cell>
          <cell r="X304">
            <v>71</v>
          </cell>
          <cell r="Y304">
            <v>63.8</v>
          </cell>
          <cell r="Z304">
            <v>73.900000000000006</v>
          </cell>
          <cell r="AA304">
            <v>76.8</v>
          </cell>
          <cell r="AB304">
            <v>79.7</v>
          </cell>
          <cell r="AC304">
            <v>82.6</v>
          </cell>
          <cell r="AD304" t="str">
            <v>--</v>
          </cell>
          <cell r="AE304" t="str">
            <v>--</v>
          </cell>
          <cell r="AF304" t="str">
            <v>--</v>
          </cell>
          <cell r="AG304" t="str">
            <v>--</v>
          </cell>
          <cell r="AH304" t="str">
            <v>--</v>
          </cell>
          <cell r="AI304" t="str">
            <v>--</v>
          </cell>
          <cell r="AJ304" t="str">
            <v>--</v>
          </cell>
          <cell r="AK304" t="str">
            <v>--</v>
          </cell>
          <cell r="AL304" t="str">
            <v>--</v>
          </cell>
          <cell r="AM304" t="str">
            <v>--</v>
          </cell>
          <cell r="AN304" t="str">
            <v>--</v>
          </cell>
          <cell r="AO304" t="str">
            <v>--</v>
          </cell>
          <cell r="AP304" t="str">
            <v>--</v>
          </cell>
          <cell r="AQ304" t="str">
            <v>--</v>
          </cell>
          <cell r="AR304" t="str">
            <v>--</v>
          </cell>
          <cell r="AS304" t="str">
            <v>--</v>
          </cell>
          <cell r="AT304" t="str">
            <v>--</v>
          </cell>
          <cell r="AU304" t="str">
            <v>--</v>
          </cell>
          <cell r="AV304" t="str">
            <v>--</v>
          </cell>
          <cell r="AW304" t="str">
            <v>--</v>
          </cell>
          <cell r="AX304" t="str">
            <v>--</v>
          </cell>
          <cell r="AY304" t="str">
            <v>--</v>
          </cell>
          <cell r="AZ304" t="str">
            <v>--</v>
          </cell>
          <cell r="BA304" t="str">
            <v>--</v>
          </cell>
          <cell r="BB304" t="str">
            <v>--</v>
          </cell>
          <cell r="BC304" t="str">
            <v>--</v>
          </cell>
          <cell r="BD304" t="str">
            <v>--</v>
          </cell>
          <cell r="BE304" t="str">
            <v>--</v>
          </cell>
          <cell r="BF304" t="str">
            <v>--</v>
          </cell>
          <cell r="BG304" t="str">
            <v>--</v>
          </cell>
          <cell r="BH304" t="str">
            <v>--</v>
          </cell>
          <cell r="BI304" t="str">
            <v>--</v>
          </cell>
          <cell r="BJ304" t="str">
            <v>--</v>
          </cell>
          <cell r="BK304" t="str">
            <v>--</v>
          </cell>
          <cell r="BL304" t="str">
            <v>--</v>
          </cell>
          <cell r="BM304" t="str">
            <v>--</v>
          </cell>
          <cell r="BN304" t="str">
            <v>--</v>
          </cell>
          <cell r="BO304" t="str">
            <v>--</v>
          </cell>
          <cell r="BP304" t="str">
            <v>--</v>
          </cell>
          <cell r="BQ304" t="str">
            <v>--</v>
          </cell>
          <cell r="BR304" t="str">
            <v>--</v>
          </cell>
          <cell r="BS304" t="str">
            <v>--</v>
          </cell>
          <cell r="BT304" t="str">
            <v>--</v>
          </cell>
          <cell r="BU304" t="str">
            <v>--</v>
          </cell>
          <cell r="BV304" t="str">
            <v>--</v>
          </cell>
          <cell r="BW304" t="str">
            <v>--</v>
          </cell>
          <cell r="BX304" t="str">
            <v>--</v>
          </cell>
          <cell r="BY304" t="str">
            <v>--</v>
          </cell>
          <cell r="BZ304" t="str">
            <v>--</v>
          </cell>
          <cell r="CA304" t="str">
            <v>--</v>
          </cell>
          <cell r="CB304" t="str">
            <v>--</v>
          </cell>
          <cell r="CC304" t="str">
            <v>--</v>
          </cell>
          <cell r="CD304" t="str">
            <v>--</v>
          </cell>
          <cell r="CE304" t="str">
            <v>--</v>
          </cell>
          <cell r="CF304">
            <v>30.3</v>
          </cell>
          <cell r="CG304">
            <v>27.3</v>
          </cell>
          <cell r="CH304">
            <v>13.3</v>
          </cell>
          <cell r="CI304">
            <v>12</v>
          </cell>
          <cell r="CJ304">
            <v>20</v>
          </cell>
          <cell r="CK304">
            <v>18</v>
          </cell>
          <cell r="CL304">
            <v>16.2</v>
          </cell>
          <cell r="CM304">
            <v>14.6</v>
          </cell>
          <cell r="CN304">
            <v>13.1</v>
          </cell>
          <cell r="CO304">
            <v>21.2</v>
          </cell>
          <cell r="CP304">
            <v>19.100000000000001</v>
          </cell>
          <cell r="CQ304">
            <v>35.5</v>
          </cell>
          <cell r="CR304">
            <v>32</v>
          </cell>
          <cell r="CS304">
            <v>15</v>
          </cell>
          <cell r="CT304">
            <v>13.5</v>
          </cell>
          <cell r="CU304">
            <v>12.2</v>
          </cell>
          <cell r="CV304">
            <v>10.9</v>
          </cell>
          <cell r="CW304">
            <v>9.8000000000000007</v>
          </cell>
          <cell r="CX304" t="str">
            <v>--</v>
          </cell>
          <cell r="CY304" t="str">
            <v>--</v>
          </cell>
          <cell r="CZ304" t="str">
            <v>--</v>
          </cell>
          <cell r="DA304" t="str">
            <v>--</v>
          </cell>
          <cell r="DB304" t="str">
            <v>--</v>
          </cell>
          <cell r="DC304" t="str">
            <v>--</v>
          </cell>
          <cell r="DD304" t="str">
            <v>--</v>
          </cell>
          <cell r="DE304" t="str">
            <v>--</v>
          </cell>
          <cell r="DF304" t="str">
            <v>--</v>
          </cell>
          <cell r="DG304">
            <v>0</v>
          </cell>
          <cell r="DH304">
            <v>1</v>
          </cell>
          <cell r="DI304">
            <v>0</v>
          </cell>
          <cell r="DJ304">
            <v>1</v>
          </cell>
          <cell r="DK304">
            <v>5</v>
          </cell>
          <cell r="DL304">
            <v>5.5</v>
          </cell>
          <cell r="DM304">
            <v>6.1</v>
          </cell>
          <cell r="DN304">
            <v>6.7</v>
          </cell>
          <cell r="DO304">
            <v>7.3</v>
          </cell>
          <cell r="DP304">
            <v>3</v>
          </cell>
          <cell r="DQ304">
            <v>3.3</v>
          </cell>
          <cell r="DR304">
            <v>0</v>
          </cell>
          <cell r="DS304">
            <v>1</v>
          </cell>
          <cell r="DT304">
            <v>5</v>
          </cell>
          <cell r="DU304">
            <v>5.5</v>
          </cell>
          <cell r="DV304">
            <v>6.1</v>
          </cell>
          <cell r="DW304">
            <v>6.7</v>
          </cell>
          <cell r="DX304">
            <v>7.3</v>
          </cell>
          <cell r="DY304" t="str">
            <v>--</v>
          </cell>
          <cell r="DZ304" t="str">
            <v>--</v>
          </cell>
          <cell r="EA304" t="str">
            <v>--</v>
          </cell>
          <cell r="EB304" t="str">
            <v>--</v>
          </cell>
          <cell r="EC304" t="str">
            <v>--</v>
          </cell>
          <cell r="ED304" t="str">
            <v>--</v>
          </cell>
          <cell r="EE304" t="str">
            <v>--</v>
          </cell>
          <cell r="EF304" t="str">
            <v>--</v>
          </cell>
          <cell r="EG304" t="str">
            <v>--</v>
          </cell>
        </row>
        <row r="305">
          <cell r="A305" t="str">
            <v>02810045White</v>
          </cell>
          <cell r="B305" t="str">
            <v>02810045C</v>
          </cell>
          <cell r="C305" t="str">
            <v>0281</v>
          </cell>
          <cell r="D305" t="str">
            <v>02810045</v>
          </cell>
          <cell r="E305" t="str">
            <v>Springfield</v>
          </cell>
          <cell r="F305" t="str">
            <v>William N. DeBerry</v>
          </cell>
          <cell r="G305" t="str">
            <v>ES</v>
          </cell>
          <cell r="H305" t="str">
            <v>Springfield - William N. DeBerry (02810045)</v>
          </cell>
          <cell r="I305" t="str">
            <v>White</v>
          </cell>
          <cell r="J305" t="str">
            <v>02810045White</v>
          </cell>
          <cell r="K305" t="str">
            <v>--</v>
          </cell>
          <cell r="L305" t="str">
            <v>--</v>
          </cell>
          <cell r="M305" t="str">
            <v>--</v>
          </cell>
          <cell r="N305" t="str">
            <v>--</v>
          </cell>
          <cell r="O305" t="str">
            <v>--</v>
          </cell>
          <cell r="P305" t="str">
            <v>--</v>
          </cell>
          <cell r="Q305" t="str">
            <v>--</v>
          </cell>
          <cell r="R305" t="str">
            <v>--</v>
          </cell>
          <cell r="S305" t="str">
            <v>--</v>
          </cell>
          <cell r="T305" t="str">
            <v>--</v>
          </cell>
          <cell r="U305" t="str">
            <v>--</v>
          </cell>
          <cell r="V305" t="str">
            <v>--</v>
          </cell>
          <cell r="W305" t="str">
            <v>--</v>
          </cell>
          <cell r="X305" t="str">
            <v>--</v>
          </cell>
          <cell r="Y305" t="str">
            <v>--</v>
          </cell>
          <cell r="Z305" t="str">
            <v>--</v>
          </cell>
          <cell r="AA305" t="str">
            <v>--</v>
          </cell>
          <cell r="AB305" t="str">
            <v>--</v>
          </cell>
          <cell r="AC305" t="str">
            <v>--</v>
          </cell>
          <cell r="AD305" t="str">
            <v>--</v>
          </cell>
          <cell r="AE305" t="str">
            <v>--</v>
          </cell>
          <cell r="AF305" t="str">
            <v>--</v>
          </cell>
          <cell r="AG305" t="str">
            <v>--</v>
          </cell>
          <cell r="AH305" t="str">
            <v>--</v>
          </cell>
          <cell r="AI305" t="str">
            <v>--</v>
          </cell>
          <cell r="AJ305" t="str">
            <v>--</v>
          </cell>
          <cell r="AK305" t="str">
            <v>--</v>
          </cell>
          <cell r="AL305" t="str">
            <v>--</v>
          </cell>
          <cell r="AM305" t="str">
            <v>--</v>
          </cell>
          <cell r="AN305" t="str">
            <v>--</v>
          </cell>
          <cell r="AO305" t="str">
            <v>--</v>
          </cell>
          <cell r="AP305" t="str">
            <v>--</v>
          </cell>
          <cell r="AQ305" t="str">
            <v>--</v>
          </cell>
          <cell r="AR305" t="str">
            <v>--</v>
          </cell>
          <cell r="AS305" t="str">
            <v>--</v>
          </cell>
          <cell r="AT305" t="str">
            <v>--</v>
          </cell>
          <cell r="AU305" t="str">
            <v>--</v>
          </cell>
          <cell r="AV305" t="str">
            <v>--</v>
          </cell>
          <cell r="AW305" t="str">
            <v>--</v>
          </cell>
          <cell r="AX305" t="str">
            <v>--</v>
          </cell>
          <cell r="AY305" t="str">
            <v>--</v>
          </cell>
          <cell r="AZ305" t="str">
            <v>--</v>
          </cell>
          <cell r="BA305" t="str">
            <v>--</v>
          </cell>
          <cell r="BB305" t="str">
            <v>--</v>
          </cell>
          <cell r="BC305" t="str">
            <v>--</v>
          </cell>
          <cell r="BD305" t="str">
            <v>--</v>
          </cell>
          <cell r="BE305" t="str">
            <v>--</v>
          </cell>
          <cell r="BF305" t="str">
            <v>--</v>
          </cell>
          <cell r="BG305" t="str">
            <v>--</v>
          </cell>
          <cell r="BH305" t="str">
            <v>--</v>
          </cell>
          <cell r="BI305" t="str">
            <v>--</v>
          </cell>
          <cell r="BJ305" t="str">
            <v>--</v>
          </cell>
          <cell r="BK305" t="str">
            <v>--</v>
          </cell>
          <cell r="BL305" t="str">
            <v>--</v>
          </cell>
          <cell r="BM305" t="str">
            <v>--</v>
          </cell>
          <cell r="BN305" t="str">
            <v>--</v>
          </cell>
          <cell r="BO305" t="str">
            <v>--</v>
          </cell>
          <cell r="BP305" t="str">
            <v>--</v>
          </cell>
          <cell r="BQ305" t="str">
            <v>--</v>
          </cell>
          <cell r="BR305" t="str">
            <v>--</v>
          </cell>
          <cell r="BS305" t="str">
            <v>--</v>
          </cell>
          <cell r="BT305" t="str">
            <v>--</v>
          </cell>
          <cell r="BU305" t="str">
            <v>--</v>
          </cell>
          <cell r="BV305" t="str">
            <v>--</v>
          </cell>
          <cell r="BW305" t="str">
            <v>--</v>
          </cell>
          <cell r="BX305" t="str">
            <v>--</v>
          </cell>
          <cell r="BY305" t="str">
            <v>--</v>
          </cell>
          <cell r="BZ305" t="str">
            <v>--</v>
          </cell>
          <cell r="CA305" t="str">
            <v>--</v>
          </cell>
          <cell r="CB305" t="str">
            <v>--</v>
          </cell>
          <cell r="CC305" t="str">
            <v>--</v>
          </cell>
          <cell r="CD305" t="str">
            <v>--</v>
          </cell>
          <cell r="CE305" t="str">
            <v>--</v>
          </cell>
          <cell r="CF305" t="str">
            <v>--</v>
          </cell>
          <cell r="CG305" t="str">
            <v>--</v>
          </cell>
          <cell r="CH305" t="str">
            <v>--</v>
          </cell>
          <cell r="CI305" t="str">
            <v>--</v>
          </cell>
          <cell r="CJ305" t="str">
            <v>--</v>
          </cell>
          <cell r="CK305" t="str">
            <v>--</v>
          </cell>
          <cell r="CL305" t="str">
            <v>--</v>
          </cell>
          <cell r="CM305" t="str">
            <v>--</v>
          </cell>
          <cell r="CN305" t="str">
            <v>--</v>
          </cell>
          <cell r="CO305" t="str">
            <v>--</v>
          </cell>
          <cell r="CP305" t="str">
            <v>--</v>
          </cell>
          <cell r="CQ305" t="str">
            <v>--</v>
          </cell>
          <cell r="CR305" t="str">
            <v>--</v>
          </cell>
          <cell r="CS305" t="str">
            <v>--</v>
          </cell>
          <cell r="CT305" t="str">
            <v>--</v>
          </cell>
          <cell r="CU305" t="str">
            <v>--</v>
          </cell>
          <cell r="CV305" t="str">
            <v>--</v>
          </cell>
          <cell r="CW305" t="str">
            <v>--</v>
          </cell>
          <cell r="CX305" t="str">
            <v>--</v>
          </cell>
          <cell r="CY305" t="str">
            <v>--</v>
          </cell>
          <cell r="CZ305" t="str">
            <v>--</v>
          </cell>
          <cell r="DA305" t="str">
            <v>--</v>
          </cell>
          <cell r="DB305" t="str">
            <v>--</v>
          </cell>
          <cell r="DC305" t="str">
            <v>--</v>
          </cell>
          <cell r="DD305" t="str">
            <v>--</v>
          </cell>
          <cell r="DE305" t="str">
            <v>--</v>
          </cell>
          <cell r="DF305" t="str">
            <v>--</v>
          </cell>
          <cell r="DG305" t="str">
            <v>--</v>
          </cell>
          <cell r="DH305" t="str">
            <v>--</v>
          </cell>
          <cell r="DI305" t="str">
            <v>--</v>
          </cell>
          <cell r="DJ305" t="str">
            <v>--</v>
          </cell>
          <cell r="DK305" t="str">
            <v>--</v>
          </cell>
          <cell r="DL305" t="str">
            <v>--</v>
          </cell>
          <cell r="DM305" t="str">
            <v>--</v>
          </cell>
          <cell r="DN305" t="str">
            <v>--</v>
          </cell>
          <cell r="DO305" t="str">
            <v>--</v>
          </cell>
          <cell r="DP305" t="str">
            <v>--</v>
          </cell>
          <cell r="DQ305" t="str">
            <v>--</v>
          </cell>
          <cell r="DR305" t="str">
            <v>--</v>
          </cell>
          <cell r="DS305" t="str">
            <v>--</v>
          </cell>
          <cell r="DT305" t="str">
            <v>--</v>
          </cell>
          <cell r="DU305" t="str">
            <v>--</v>
          </cell>
          <cell r="DV305" t="str">
            <v>--</v>
          </cell>
          <cell r="DW305" t="str">
            <v>--</v>
          </cell>
          <cell r="DX305" t="str">
            <v>--</v>
          </cell>
          <cell r="DY305" t="str">
            <v>--</v>
          </cell>
          <cell r="DZ305" t="str">
            <v>--</v>
          </cell>
          <cell r="EA305" t="str">
            <v>--</v>
          </cell>
          <cell r="EB305" t="str">
            <v>--</v>
          </cell>
          <cell r="EC305" t="str">
            <v>--</v>
          </cell>
          <cell r="ED305" t="str">
            <v>--</v>
          </cell>
          <cell r="EE305" t="str">
            <v>--</v>
          </cell>
          <cell r="EF305" t="str">
            <v>--</v>
          </cell>
          <cell r="EG305" t="str">
            <v>--</v>
          </cell>
        </row>
        <row r="306">
          <cell r="A306" t="str">
            <v>02810045Students w/disabilities</v>
          </cell>
          <cell r="B306" t="str">
            <v>02810045D</v>
          </cell>
          <cell r="C306" t="str">
            <v>0281</v>
          </cell>
          <cell r="D306" t="str">
            <v>02810045</v>
          </cell>
          <cell r="E306" t="str">
            <v>Springfield</v>
          </cell>
          <cell r="F306" t="str">
            <v>William N. DeBerry</v>
          </cell>
          <cell r="G306" t="str">
            <v>ES</v>
          </cell>
          <cell r="H306" t="str">
            <v>Springfield - William N. DeBerry (02810045)</v>
          </cell>
          <cell r="I306" t="str">
            <v>Students w/disabilities</v>
          </cell>
          <cell r="J306" t="str">
            <v>02810045Students w/disabilities</v>
          </cell>
          <cell r="K306" t="str">
            <v>--</v>
          </cell>
          <cell r="L306">
            <v>43.8</v>
          </cell>
          <cell r="M306">
            <v>48.5</v>
          </cell>
          <cell r="N306">
            <v>35.5</v>
          </cell>
          <cell r="O306">
            <v>53.2</v>
          </cell>
          <cell r="P306">
            <v>34</v>
          </cell>
          <cell r="Q306">
            <v>57.9</v>
          </cell>
          <cell r="R306">
            <v>62.5</v>
          </cell>
          <cell r="S306">
            <v>67.2</v>
          </cell>
          <cell r="T306">
            <v>71.900000000000006</v>
          </cell>
          <cell r="U306">
            <v>53.6</v>
          </cell>
          <cell r="V306">
            <v>57.5</v>
          </cell>
          <cell r="W306">
            <v>31</v>
          </cell>
          <cell r="X306">
            <v>61.3</v>
          </cell>
          <cell r="Y306">
            <v>44</v>
          </cell>
          <cell r="Z306">
            <v>65.2</v>
          </cell>
          <cell r="AA306">
            <v>69.099999999999994</v>
          </cell>
          <cell r="AB306">
            <v>72.900000000000006</v>
          </cell>
          <cell r="AC306">
            <v>76.8</v>
          </cell>
          <cell r="AD306" t="str">
            <v>--</v>
          </cell>
          <cell r="AE306" t="str">
            <v>--</v>
          </cell>
          <cell r="AF306" t="str">
            <v>--</v>
          </cell>
          <cell r="AG306" t="str">
            <v>--</v>
          </cell>
          <cell r="AH306" t="str">
            <v>--</v>
          </cell>
          <cell r="AI306" t="str">
            <v>--</v>
          </cell>
          <cell r="AJ306" t="str">
            <v>--</v>
          </cell>
          <cell r="AK306" t="str">
            <v>--</v>
          </cell>
          <cell r="AL306" t="str">
            <v>--</v>
          </cell>
          <cell r="AM306" t="str">
            <v>--</v>
          </cell>
          <cell r="AN306" t="str">
            <v>--</v>
          </cell>
          <cell r="AO306" t="str">
            <v>--</v>
          </cell>
          <cell r="AP306" t="str">
            <v>--</v>
          </cell>
          <cell r="AQ306" t="str">
            <v>--</v>
          </cell>
          <cell r="AR306" t="str">
            <v>--</v>
          </cell>
          <cell r="AS306" t="str">
            <v>--</v>
          </cell>
          <cell r="AT306" t="str">
            <v>--</v>
          </cell>
          <cell r="AU306" t="str">
            <v>--</v>
          </cell>
          <cell r="AV306" t="str">
            <v>--</v>
          </cell>
          <cell r="AW306" t="str">
            <v>--</v>
          </cell>
          <cell r="AX306" t="str">
            <v>--</v>
          </cell>
          <cell r="AY306" t="str">
            <v>--</v>
          </cell>
          <cell r="AZ306" t="str">
            <v>--</v>
          </cell>
          <cell r="BA306" t="str">
            <v>--</v>
          </cell>
          <cell r="BB306" t="str">
            <v>--</v>
          </cell>
          <cell r="BC306" t="str">
            <v>--</v>
          </cell>
          <cell r="BD306" t="str">
            <v>--</v>
          </cell>
          <cell r="BE306" t="str">
            <v>--</v>
          </cell>
          <cell r="BF306" t="str">
            <v>--</v>
          </cell>
          <cell r="BG306" t="str">
            <v>--</v>
          </cell>
          <cell r="BH306" t="str">
            <v>--</v>
          </cell>
          <cell r="BI306" t="str">
            <v>--</v>
          </cell>
          <cell r="BJ306" t="str">
            <v>--</v>
          </cell>
          <cell r="BK306" t="str">
            <v>--</v>
          </cell>
          <cell r="BL306" t="str">
            <v>--</v>
          </cell>
          <cell r="BM306" t="str">
            <v>--</v>
          </cell>
          <cell r="BN306" t="str">
            <v>--</v>
          </cell>
          <cell r="BO306" t="str">
            <v>--</v>
          </cell>
          <cell r="BP306" t="str">
            <v>--</v>
          </cell>
          <cell r="BQ306" t="str">
            <v>--</v>
          </cell>
          <cell r="BR306" t="str">
            <v>--</v>
          </cell>
          <cell r="BS306" t="str">
            <v>--</v>
          </cell>
          <cell r="BT306" t="str">
            <v>--</v>
          </cell>
          <cell r="BU306" t="str">
            <v>--</v>
          </cell>
          <cell r="BV306" t="str">
            <v>--</v>
          </cell>
          <cell r="BW306" t="str">
            <v>--</v>
          </cell>
          <cell r="BX306" t="str">
            <v>--</v>
          </cell>
          <cell r="BY306" t="str">
            <v>--</v>
          </cell>
          <cell r="BZ306" t="str">
            <v>--</v>
          </cell>
          <cell r="CA306" t="str">
            <v>--</v>
          </cell>
          <cell r="CB306" t="str">
            <v>--</v>
          </cell>
          <cell r="CC306" t="str">
            <v>--</v>
          </cell>
          <cell r="CD306" t="str">
            <v>--</v>
          </cell>
          <cell r="CE306" t="str">
            <v>--</v>
          </cell>
          <cell r="CF306">
            <v>64.3</v>
          </cell>
          <cell r="CG306">
            <v>57.9</v>
          </cell>
          <cell r="CH306">
            <v>68.400000000000006</v>
          </cell>
          <cell r="CI306">
            <v>57.9</v>
          </cell>
          <cell r="CJ306">
            <v>64</v>
          </cell>
          <cell r="CK306">
            <v>57.6</v>
          </cell>
          <cell r="CL306">
            <v>51.8</v>
          </cell>
          <cell r="CM306">
            <v>46.7</v>
          </cell>
          <cell r="CN306">
            <v>42</v>
          </cell>
          <cell r="CO306">
            <v>39.299999999999997</v>
          </cell>
          <cell r="CP306">
            <v>35.4</v>
          </cell>
          <cell r="CQ306">
            <v>71.400000000000006</v>
          </cell>
          <cell r="CR306">
            <v>64.3</v>
          </cell>
          <cell r="CS306">
            <v>52</v>
          </cell>
          <cell r="CT306">
            <v>46.8</v>
          </cell>
          <cell r="CU306">
            <v>42.1</v>
          </cell>
          <cell r="CV306">
            <v>37.9</v>
          </cell>
          <cell r="CW306">
            <v>34.1</v>
          </cell>
          <cell r="CX306" t="str">
            <v>--</v>
          </cell>
          <cell r="CY306" t="str">
            <v>--</v>
          </cell>
          <cell r="CZ306" t="str">
            <v>--</v>
          </cell>
          <cell r="DA306" t="str">
            <v>--</v>
          </cell>
          <cell r="DB306" t="str">
            <v>--</v>
          </cell>
          <cell r="DC306" t="str">
            <v>--</v>
          </cell>
          <cell r="DD306" t="str">
            <v>--</v>
          </cell>
          <cell r="DE306" t="str">
            <v>--</v>
          </cell>
          <cell r="DF306" t="str">
            <v>--</v>
          </cell>
          <cell r="DG306">
            <v>0</v>
          </cell>
          <cell r="DH306">
            <v>1</v>
          </cell>
          <cell r="DI306">
            <v>0</v>
          </cell>
          <cell r="DJ306">
            <v>1</v>
          </cell>
          <cell r="DK306">
            <v>0</v>
          </cell>
          <cell r="DL306">
            <v>1</v>
          </cell>
          <cell r="DM306">
            <v>1.1000000000000001</v>
          </cell>
          <cell r="DN306">
            <v>1.2</v>
          </cell>
          <cell r="DO306">
            <v>1.3</v>
          </cell>
          <cell r="DP306">
            <v>0</v>
          </cell>
          <cell r="DQ306">
            <v>1</v>
          </cell>
          <cell r="DR306">
            <v>0</v>
          </cell>
          <cell r="DS306">
            <v>1</v>
          </cell>
          <cell r="DT306">
            <v>4</v>
          </cell>
          <cell r="DU306">
            <v>4.4000000000000004</v>
          </cell>
          <cell r="DV306">
            <v>4.8</v>
          </cell>
          <cell r="DW306">
            <v>5.3</v>
          </cell>
          <cell r="DX306">
            <v>5.9</v>
          </cell>
          <cell r="DY306" t="str">
            <v>--</v>
          </cell>
          <cell r="DZ306" t="str">
            <v>--</v>
          </cell>
          <cell r="EA306" t="str">
            <v>--</v>
          </cell>
          <cell r="EB306" t="str">
            <v>--</v>
          </cell>
          <cell r="EC306" t="str">
            <v>--</v>
          </cell>
          <cell r="ED306" t="str">
            <v>--</v>
          </cell>
          <cell r="EE306" t="str">
            <v>--</v>
          </cell>
          <cell r="EF306" t="str">
            <v>--</v>
          </cell>
          <cell r="EG306" t="str">
            <v>--</v>
          </cell>
        </row>
        <row r="307">
          <cell r="A307" t="str">
            <v>02810045Low income</v>
          </cell>
          <cell r="B307" t="str">
            <v>02810045F</v>
          </cell>
          <cell r="C307" t="str">
            <v>0281</v>
          </cell>
          <cell r="D307" t="str">
            <v>02810045</v>
          </cell>
          <cell r="E307" t="str">
            <v>Springfield</v>
          </cell>
          <cell r="F307" t="str">
            <v>William N. DeBerry</v>
          </cell>
          <cell r="G307" t="str">
            <v>ES</v>
          </cell>
          <cell r="H307" t="str">
            <v>Springfield - William N. DeBerry (02810045)</v>
          </cell>
          <cell r="I307" t="str">
            <v>Low income</v>
          </cell>
          <cell r="J307" t="str">
            <v>02810045Low income</v>
          </cell>
          <cell r="K307" t="str">
            <v>--</v>
          </cell>
          <cell r="L307">
            <v>58.8</v>
          </cell>
          <cell r="M307">
            <v>62.2</v>
          </cell>
          <cell r="N307">
            <v>57</v>
          </cell>
          <cell r="O307">
            <v>65.7</v>
          </cell>
          <cell r="P307">
            <v>57.1</v>
          </cell>
          <cell r="Q307">
            <v>69.099999999999994</v>
          </cell>
          <cell r="R307">
            <v>72.5</v>
          </cell>
          <cell r="S307">
            <v>76</v>
          </cell>
          <cell r="T307">
            <v>79.400000000000006</v>
          </cell>
          <cell r="U307">
            <v>60.7</v>
          </cell>
          <cell r="V307">
            <v>64</v>
          </cell>
          <cell r="W307">
            <v>48.1</v>
          </cell>
          <cell r="X307">
            <v>67.3</v>
          </cell>
          <cell r="Y307">
            <v>57.2</v>
          </cell>
          <cell r="Z307">
            <v>70.5</v>
          </cell>
          <cell r="AA307">
            <v>73.8</v>
          </cell>
          <cell r="AB307">
            <v>77.099999999999994</v>
          </cell>
          <cell r="AC307">
            <v>80.400000000000006</v>
          </cell>
          <cell r="AD307">
            <v>52.8</v>
          </cell>
          <cell r="AE307">
            <v>56.7</v>
          </cell>
          <cell r="AF307">
            <v>52.8</v>
          </cell>
          <cell r="AG307">
            <v>60.7</v>
          </cell>
          <cell r="AH307">
            <v>52.6</v>
          </cell>
          <cell r="AI307">
            <v>64.599999999999994</v>
          </cell>
          <cell r="AJ307">
            <v>68.5</v>
          </cell>
          <cell r="AK307">
            <v>72.5</v>
          </cell>
          <cell r="AL307">
            <v>76.400000000000006</v>
          </cell>
          <cell r="AM307" t="str">
            <v>--</v>
          </cell>
          <cell r="AN307" t="str">
            <v>--</v>
          </cell>
          <cell r="AO307" t="str">
            <v>--</v>
          </cell>
          <cell r="AP307" t="str">
            <v>--</v>
          </cell>
          <cell r="AQ307" t="str">
            <v>--</v>
          </cell>
          <cell r="AR307" t="str">
            <v>--</v>
          </cell>
          <cell r="AS307" t="str">
            <v>--</v>
          </cell>
          <cell r="AT307" t="str">
            <v>--</v>
          </cell>
          <cell r="AU307" t="str">
            <v>--</v>
          </cell>
          <cell r="AV307" t="str">
            <v>--</v>
          </cell>
          <cell r="AW307" t="str">
            <v>--</v>
          </cell>
          <cell r="AX307" t="str">
            <v>--</v>
          </cell>
          <cell r="AY307" t="str">
            <v>--</v>
          </cell>
          <cell r="AZ307" t="str">
            <v>--</v>
          </cell>
          <cell r="BA307" t="str">
            <v>--</v>
          </cell>
          <cell r="BB307" t="str">
            <v>--</v>
          </cell>
          <cell r="BC307" t="str">
            <v>--</v>
          </cell>
          <cell r="BD307" t="str">
            <v>--</v>
          </cell>
          <cell r="BE307" t="str">
            <v>--</v>
          </cell>
          <cell r="BF307" t="str">
            <v>--</v>
          </cell>
          <cell r="BG307" t="str">
            <v>--</v>
          </cell>
          <cell r="BH307" t="str">
            <v>--</v>
          </cell>
          <cell r="BI307" t="str">
            <v>--</v>
          </cell>
          <cell r="BJ307" t="str">
            <v>--</v>
          </cell>
          <cell r="BK307" t="str">
            <v>--</v>
          </cell>
          <cell r="BL307" t="str">
            <v>--</v>
          </cell>
          <cell r="BM307" t="str">
            <v>--</v>
          </cell>
          <cell r="BN307">
            <v>39.5</v>
          </cell>
          <cell r="BO307">
            <v>49.5</v>
          </cell>
          <cell r="BP307">
            <v>41</v>
          </cell>
          <cell r="BQ307">
            <v>51</v>
          </cell>
          <cell r="BR307">
            <v>42.5</v>
          </cell>
          <cell r="BS307">
            <v>51</v>
          </cell>
          <cell r="BT307">
            <v>51</v>
          </cell>
          <cell r="BU307">
            <v>51</v>
          </cell>
          <cell r="BV307">
            <v>51</v>
          </cell>
          <cell r="BW307">
            <v>43.5</v>
          </cell>
          <cell r="BX307">
            <v>51</v>
          </cell>
          <cell r="BY307">
            <v>19</v>
          </cell>
          <cell r="BZ307">
            <v>29</v>
          </cell>
          <cell r="CA307">
            <v>51</v>
          </cell>
          <cell r="CB307">
            <v>51</v>
          </cell>
          <cell r="CC307">
            <v>51</v>
          </cell>
          <cell r="CD307">
            <v>51</v>
          </cell>
          <cell r="CE307">
            <v>51</v>
          </cell>
          <cell r="CF307">
            <v>28.7</v>
          </cell>
          <cell r="CG307">
            <v>25.8</v>
          </cell>
          <cell r="CH307">
            <v>33.700000000000003</v>
          </cell>
          <cell r="CI307">
            <v>30.3</v>
          </cell>
          <cell r="CJ307">
            <v>32.700000000000003</v>
          </cell>
          <cell r="CK307">
            <v>29.4</v>
          </cell>
          <cell r="CL307">
            <v>26.5</v>
          </cell>
          <cell r="CM307">
            <v>23.8</v>
          </cell>
          <cell r="CN307">
            <v>21.5</v>
          </cell>
          <cell r="CO307">
            <v>28</v>
          </cell>
          <cell r="CP307">
            <v>25.2</v>
          </cell>
          <cell r="CQ307">
            <v>48.1</v>
          </cell>
          <cell r="CR307">
            <v>43.3</v>
          </cell>
          <cell r="CS307">
            <v>30.9</v>
          </cell>
          <cell r="CT307">
            <v>27.8</v>
          </cell>
          <cell r="CU307">
            <v>25</v>
          </cell>
          <cell r="CV307">
            <v>22.5</v>
          </cell>
          <cell r="CW307">
            <v>20.3</v>
          </cell>
          <cell r="CX307">
            <v>38.6</v>
          </cell>
          <cell r="CY307">
            <v>34.700000000000003</v>
          </cell>
          <cell r="CZ307">
            <v>36.1</v>
          </cell>
          <cell r="DA307">
            <v>32.5</v>
          </cell>
          <cell r="DB307">
            <v>42.1</v>
          </cell>
          <cell r="DC307">
            <v>37.9</v>
          </cell>
          <cell r="DD307">
            <v>34.1</v>
          </cell>
          <cell r="DE307">
            <v>30.7</v>
          </cell>
          <cell r="DF307">
            <v>27.6</v>
          </cell>
          <cell r="DG307">
            <v>0.9</v>
          </cell>
          <cell r="DH307">
            <v>1</v>
          </cell>
          <cell r="DI307">
            <v>0</v>
          </cell>
          <cell r="DJ307">
            <v>1</v>
          </cell>
          <cell r="DK307">
            <v>1</v>
          </cell>
          <cell r="DL307">
            <v>1.1000000000000001</v>
          </cell>
          <cell r="DM307">
            <v>1.2</v>
          </cell>
          <cell r="DN307">
            <v>1.3</v>
          </cell>
          <cell r="DO307">
            <v>1.5</v>
          </cell>
          <cell r="DP307">
            <v>3.7</v>
          </cell>
          <cell r="DQ307">
            <v>4.0999999999999996</v>
          </cell>
          <cell r="DR307">
            <v>0.9</v>
          </cell>
          <cell r="DS307">
            <v>1</v>
          </cell>
          <cell r="DT307">
            <v>7.2</v>
          </cell>
          <cell r="DU307">
            <v>7.9</v>
          </cell>
          <cell r="DV307">
            <v>8.6999999999999993</v>
          </cell>
          <cell r="DW307">
            <v>9.6</v>
          </cell>
          <cell r="DX307">
            <v>10.5</v>
          </cell>
          <cell r="DY307">
            <v>0</v>
          </cell>
          <cell r="DZ307">
            <v>1</v>
          </cell>
          <cell r="EA307">
            <v>0</v>
          </cell>
          <cell r="EB307">
            <v>1</v>
          </cell>
          <cell r="EC307">
            <v>0</v>
          </cell>
          <cell r="ED307">
            <v>1</v>
          </cell>
          <cell r="EE307">
            <v>1.1000000000000001</v>
          </cell>
          <cell r="EF307">
            <v>1.2</v>
          </cell>
          <cell r="EG307">
            <v>1.3</v>
          </cell>
        </row>
        <row r="308">
          <cell r="A308" t="str">
            <v>02810045Hispanic/Latino</v>
          </cell>
          <cell r="B308" t="str">
            <v>02810045H</v>
          </cell>
          <cell r="C308" t="str">
            <v>0281</v>
          </cell>
          <cell r="D308" t="str">
            <v>02810045</v>
          </cell>
          <cell r="E308" t="str">
            <v>Springfield</v>
          </cell>
          <cell r="F308" t="str">
            <v>William N. DeBerry</v>
          </cell>
          <cell r="G308" t="str">
            <v>ES</v>
          </cell>
          <cell r="H308" t="str">
            <v>Springfield - William N. DeBerry (02810045)</v>
          </cell>
          <cell r="I308" t="str">
            <v>Hispanic/Latino</v>
          </cell>
          <cell r="J308" t="str">
            <v>02810045Hispanic/Latino</v>
          </cell>
          <cell r="K308" t="str">
            <v>--</v>
          </cell>
          <cell r="L308">
            <v>59.4</v>
          </cell>
          <cell r="M308">
            <v>62.8</v>
          </cell>
          <cell r="N308">
            <v>51.3</v>
          </cell>
          <cell r="O308">
            <v>66.2</v>
          </cell>
          <cell r="P308">
            <v>56.3</v>
          </cell>
          <cell r="Q308">
            <v>69.599999999999994</v>
          </cell>
          <cell r="R308">
            <v>72.900000000000006</v>
          </cell>
          <cell r="S308">
            <v>76.3</v>
          </cell>
          <cell r="T308">
            <v>79.7</v>
          </cell>
          <cell r="U308">
            <v>57.5</v>
          </cell>
          <cell r="V308">
            <v>61</v>
          </cell>
          <cell r="W308">
            <v>43.9</v>
          </cell>
          <cell r="X308">
            <v>64.599999999999994</v>
          </cell>
          <cell r="Y308">
            <v>56</v>
          </cell>
          <cell r="Z308">
            <v>68.099999999999994</v>
          </cell>
          <cell r="AA308">
            <v>71.7</v>
          </cell>
          <cell r="AB308">
            <v>75.2</v>
          </cell>
          <cell r="AC308">
            <v>78.8</v>
          </cell>
          <cell r="AD308">
            <v>50</v>
          </cell>
          <cell r="AE308">
            <v>54.2</v>
          </cell>
          <cell r="AF308">
            <v>43.5</v>
          </cell>
          <cell r="AG308">
            <v>58.3</v>
          </cell>
          <cell r="AH308">
            <v>50</v>
          </cell>
          <cell r="AI308">
            <v>62.5</v>
          </cell>
          <cell r="AJ308">
            <v>66.7</v>
          </cell>
          <cell r="AK308">
            <v>70.8</v>
          </cell>
          <cell r="AL308">
            <v>75</v>
          </cell>
          <cell r="AM308" t="str">
            <v>--</v>
          </cell>
          <cell r="AN308" t="str">
            <v>--</v>
          </cell>
          <cell r="AO308" t="str">
            <v>--</v>
          </cell>
          <cell r="AP308" t="str">
            <v>--</v>
          </cell>
          <cell r="AQ308" t="str">
            <v>--</v>
          </cell>
          <cell r="AR308" t="str">
            <v>--</v>
          </cell>
          <cell r="AS308" t="str">
            <v>--</v>
          </cell>
          <cell r="AT308" t="str">
            <v>--</v>
          </cell>
          <cell r="AU308" t="str">
            <v>--</v>
          </cell>
          <cell r="AV308" t="str">
            <v>--</v>
          </cell>
          <cell r="AW308" t="str">
            <v>--</v>
          </cell>
          <cell r="AX308" t="str">
            <v>--</v>
          </cell>
          <cell r="AY308" t="str">
            <v>--</v>
          </cell>
          <cell r="AZ308" t="str">
            <v>--</v>
          </cell>
          <cell r="BA308" t="str">
            <v>--</v>
          </cell>
          <cell r="BB308" t="str">
            <v>--</v>
          </cell>
          <cell r="BC308" t="str">
            <v>--</v>
          </cell>
          <cell r="BD308" t="str">
            <v>--</v>
          </cell>
          <cell r="BE308" t="str">
            <v>--</v>
          </cell>
          <cell r="BF308" t="str">
            <v>--</v>
          </cell>
          <cell r="BG308" t="str">
            <v>--</v>
          </cell>
          <cell r="BH308" t="str">
            <v>--</v>
          </cell>
          <cell r="BI308" t="str">
            <v>--</v>
          </cell>
          <cell r="BJ308" t="str">
            <v>--</v>
          </cell>
          <cell r="BK308" t="str">
            <v>--</v>
          </cell>
          <cell r="BL308" t="str">
            <v>--</v>
          </cell>
          <cell r="BM308" t="str">
            <v>--</v>
          </cell>
          <cell r="BN308">
            <v>42</v>
          </cell>
          <cell r="BO308">
            <v>51</v>
          </cell>
          <cell r="BP308">
            <v>37</v>
          </cell>
          <cell r="BQ308">
            <v>47</v>
          </cell>
          <cell r="BR308">
            <v>43</v>
          </cell>
          <cell r="BS308">
            <v>51</v>
          </cell>
          <cell r="BT308">
            <v>51</v>
          </cell>
          <cell r="BU308">
            <v>51</v>
          </cell>
          <cell r="BV308">
            <v>51</v>
          </cell>
          <cell r="BW308">
            <v>42</v>
          </cell>
          <cell r="BX308">
            <v>51</v>
          </cell>
          <cell r="BY308">
            <v>15</v>
          </cell>
          <cell r="BZ308">
            <v>25</v>
          </cell>
          <cell r="CA308">
            <v>63</v>
          </cell>
          <cell r="CB308">
            <v>51</v>
          </cell>
          <cell r="CC308">
            <v>51</v>
          </cell>
          <cell r="CD308">
            <v>51</v>
          </cell>
          <cell r="CE308">
            <v>51</v>
          </cell>
          <cell r="CF308">
            <v>26.6</v>
          </cell>
          <cell r="CG308">
            <v>23.9</v>
          </cell>
          <cell r="CH308">
            <v>43.3</v>
          </cell>
          <cell r="CI308">
            <v>39</v>
          </cell>
          <cell r="CJ308">
            <v>33.299999999999997</v>
          </cell>
          <cell r="CK308">
            <v>30</v>
          </cell>
          <cell r="CL308">
            <v>27</v>
          </cell>
          <cell r="CM308">
            <v>24.3</v>
          </cell>
          <cell r="CN308">
            <v>21.8</v>
          </cell>
          <cell r="CO308">
            <v>33.299999999999997</v>
          </cell>
          <cell r="CP308">
            <v>30</v>
          </cell>
          <cell r="CQ308">
            <v>54.1</v>
          </cell>
          <cell r="CR308">
            <v>48.7</v>
          </cell>
          <cell r="CS308">
            <v>33.799999999999997</v>
          </cell>
          <cell r="CT308">
            <v>30.4</v>
          </cell>
          <cell r="CU308">
            <v>27.4</v>
          </cell>
          <cell r="CV308">
            <v>24.6</v>
          </cell>
          <cell r="CW308">
            <v>22.2</v>
          </cell>
          <cell r="CX308">
            <v>39.299999999999997</v>
          </cell>
          <cell r="CY308">
            <v>35.4</v>
          </cell>
          <cell r="CZ308">
            <v>52.2</v>
          </cell>
          <cell r="DA308">
            <v>47</v>
          </cell>
          <cell r="DB308">
            <v>48</v>
          </cell>
          <cell r="DC308">
            <v>43.2</v>
          </cell>
          <cell r="DD308">
            <v>38.9</v>
          </cell>
          <cell r="DE308">
            <v>35</v>
          </cell>
          <cell r="DF308">
            <v>31.5</v>
          </cell>
          <cell r="DG308">
            <v>1.6</v>
          </cell>
          <cell r="DH308">
            <v>1.8</v>
          </cell>
          <cell r="DI308">
            <v>0</v>
          </cell>
          <cell r="DJ308">
            <v>1</v>
          </cell>
          <cell r="DK308">
            <v>0</v>
          </cell>
          <cell r="DL308">
            <v>1</v>
          </cell>
          <cell r="DM308">
            <v>1.1000000000000001</v>
          </cell>
          <cell r="DN308">
            <v>1.2</v>
          </cell>
          <cell r="DO308">
            <v>1.3</v>
          </cell>
          <cell r="DP308">
            <v>4.8</v>
          </cell>
          <cell r="DQ308">
            <v>5.3</v>
          </cell>
          <cell r="DR308">
            <v>1.6</v>
          </cell>
          <cell r="DS308">
            <v>1.8</v>
          </cell>
          <cell r="DT308">
            <v>8.5</v>
          </cell>
          <cell r="DU308">
            <v>9.4</v>
          </cell>
          <cell r="DV308">
            <v>10.3</v>
          </cell>
          <cell r="DW308">
            <v>11.3</v>
          </cell>
          <cell r="DX308">
            <v>12.4</v>
          </cell>
          <cell r="DY308">
            <v>0</v>
          </cell>
          <cell r="DZ308">
            <v>1</v>
          </cell>
          <cell r="EA308">
            <v>0</v>
          </cell>
          <cell r="EB308">
            <v>1</v>
          </cell>
          <cell r="EC308">
            <v>0</v>
          </cell>
          <cell r="ED308">
            <v>1</v>
          </cell>
          <cell r="EE308">
            <v>1.1000000000000001</v>
          </cell>
          <cell r="EF308">
            <v>1.2</v>
          </cell>
          <cell r="EG308">
            <v>1.3</v>
          </cell>
        </row>
        <row r="309">
          <cell r="A309" t="str">
            <v>02810045ELL and Former ELL</v>
          </cell>
          <cell r="B309" t="str">
            <v>02810045L</v>
          </cell>
          <cell r="C309" t="str">
            <v>0281</v>
          </cell>
          <cell r="D309" t="str">
            <v>02810045</v>
          </cell>
          <cell r="E309" t="str">
            <v>Springfield</v>
          </cell>
          <cell r="F309" t="str">
            <v>William N. DeBerry</v>
          </cell>
          <cell r="G309" t="str">
            <v>ES</v>
          </cell>
          <cell r="H309" t="str">
            <v>Springfield - William N. DeBerry (02810045)</v>
          </cell>
          <cell r="I309" t="str">
            <v>ELL and Former ELL</v>
          </cell>
          <cell r="J309" t="str">
            <v>02810045ELL and Former ELL</v>
          </cell>
          <cell r="K309" t="str">
            <v>--</v>
          </cell>
          <cell r="L309">
            <v>53.6</v>
          </cell>
          <cell r="M309">
            <v>57.5</v>
          </cell>
          <cell r="N309">
            <v>43.3</v>
          </cell>
          <cell r="O309">
            <v>61.3</v>
          </cell>
          <cell r="P309">
            <v>45.2</v>
          </cell>
          <cell r="Q309">
            <v>65.2</v>
          </cell>
          <cell r="R309">
            <v>69.099999999999994</v>
          </cell>
          <cell r="S309">
            <v>72.900000000000006</v>
          </cell>
          <cell r="T309">
            <v>76.8</v>
          </cell>
          <cell r="U309">
            <v>52.9</v>
          </cell>
          <cell r="V309">
            <v>56.8</v>
          </cell>
          <cell r="W309">
            <v>40.799999999999997</v>
          </cell>
          <cell r="X309">
            <v>60.8</v>
          </cell>
          <cell r="Y309">
            <v>47.6</v>
          </cell>
          <cell r="Z309">
            <v>64.7</v>
          </cell>
          <cell r="AA309">
            <v>68.599999999999994</v>
          </cell>
          <cell r="AB309">
            <v>72.5</v>
          </cell>
          <cell r="AC309">
            <v>76.5</v>
          </cell>
          <cell r="AD309" t="str">
            <v>--</v>
          </cell>
          <cell r="AE309" t="str">
            <v>--</v>
          </cell>
          <cell r="AF309" t="str">
            <v>--</v>
          </cell>
          <cell r="AG309" t="str">
            <v>--</v>
          </cell>
          <cell r="AH309" t="str">
            <v>--</v>
          </cell>
          <cell r="AI309" t="str">
            <v>--</v>
          </cell>
          <cell r="AJ309" t="str">
            <v>--</v>
          </cell>
          <cell r="AK309" t="str">
            <v>--</v>
          </cell>
          <cell r="AL309" t="str">
            <v>--</v>
          </cell>
          <cell r="AM309" t="str">
            <v>--</v>
          </cell>
          <cell r="AN309" t="str">
            <v>--</v>
          </cell>
          <cell r="AO309" t="str">
            <v>--</v>
          </cell>
          <cell r="AP309" t="str">
            <v>--</v>
          </cell>
          <cell r="AQ309" t="str">
            <v>--</v>
          </cell>
          <cell r="AR309" t="str">
            <v>--</v>
          </cell>
          <cell r="AS309" t="str">
            <v>--</v>
          </cell>
          <cell r="AT309" t="str">
            <v>--</v>
          </cell>
          <cell r="AU309" t="str">
            <v>--</v>
          </cell>
          <cell r="AV309" t="str">
            <v>--</v>
          </cell>
          <cell r="AW309" t="str">
            <v>--</v>
          </cell>
          <cell r="AX309" t="str">
            <v>--</v>
          </cell>
          <cell r="AY309" t="str">
            <v>--</v>
          </cell>
          <cell r="AZ309" t="str">
            <v>--</v>
          </cell>
          <cell r="BA309" t="str">
            <v>--</v>
          </cell>
          <cell r="BB309" t="str">
            <v>--</v>
          </cell>
          <cell r="BC309" t="str">
            <v>--</v>
          </cell>
          <cell r="BD309" t="str">
            <v>--</v>
          </cell>
          <cell r="BE309" t="str">
            <v>--</v>
          </cell>
          <cell r="BF309" t="str">
            <v>--</v>
          </cell>
          <cell r="BG309" t="str">
            <v>--</v>
          </cell>
          <cell r="BH309" t="str">
            <v>--</v>
          </cell>
          <cell r="BI309" t="str">
            <v>--</v>
          </cell>
          <cell r="BJ309" t="str">
            <v>--</v>
          </cell>
          <cell r="BK309" t="str">
            <v>--</v>
          </cell>
          <cell r="BL309" t="str">
            <v>--</v>
          </cell>
          <cell r="BM309" t="str">
            <v>--</v>
          </cell>
          <cell r="BN309" t="str">
            <v>--</v>
          </cell>
          <cell r="BO309" t="str">
            <v>--</v>
          </cell>
          <cell r="BP309" t="str">
            <v>--</v>
          </cell>
          <cell r="BQ309" t="str">
            <v>--</v>
          </cell>
          <cell r="BR309" t="str">
            <v>--</v>
          </cell>
          <cell r="BS309" t="str">
            <v>--</v>
          </cell>
          <cell r="BT309" t="str">
            <v>--</v>
          </cell>
          <cell r="BU309" t="str">
            <v>--</v>
          </cell>
          <cell r="BV309" t="str">
            <v>--</v>
          </cell>
          <cell r="BW309" t="str">
            <v>--</v>
          </cell>
          <cell r="BX309" t="str">
            <v>--</v>
          </cell>
          <cell r="BY309" t="str">
            <v>--</v>
          </cell>
          <cell r="BZ309" t="str">
            <v>--</v>
          </cell>
          <cell r="CA309" t="str">
            <v>--</v>
          </cell>
          <cell r="CB309" t="str">
            <v>--</v>
          </cell>
          <cell r="CC309" t="str">
            <v>--</v>
          </cell>
          <cell r="CD309" t="str">
            <v>--</v>
          </cell>
          <cell r="CE309" t="str">
            <v>--</v>
          </cell>
          <cell r="CF309">
            <v>37.1</v>
          </cell>
          <cell r="CG309">
            <v>33.4</v>
          </cell>
          <cell r="CH309">
            <v>60</v>
          </cell>
          <cell r="CI309">
            <v>54</v>
          </cell>
          <cell r="CJ309">
            <v>45.2</v>
          </cell>
          <cell r="CK309">
            <v>40.700000000000003</v>
          </cell>
          <cell r="CL309">
            <v>36.6</v>
          </cell>
          <cell r="CM309">
            <v>33</v>
          </cell>
          <cell r="CN309">
            <v>29.7</v>
          </cell>
          <cell r="CO309">
            <v>38.200000000000003</v>
          </cell>
          <cell r="CP309">
            <v>34.4</v>
          </cell>
          <cell r="CQ309">
            <v>63.3</v>
          </cell>
          <cell r="CR309">
            <v>57</v>
          </cell>
          <cell r="CS309">
            <v>51.6</v>
          </cell>
          <cell r="CT309">
            <v>46.4</v>
          </cell>
          <cell r="CU309">
            <v>41.8</v>
          </cell>
          <cell r="CV309">
            <v>37.6</v>
          </cell>
          <cell r="CW309">
            <v>33.9</v>
          </cell>
          <cell r="CX309" t="str">
            <v>--</v>
          </cell>
          <cell r="CY309" t="str">
            <v>--</v>
          </cell>
          <cell r="CZ309" t="str">
            <v>--</v>
          </cell>
          <cell r="DA309" t="str">
            <v>--</v>
          </cell>
          <cell r="DB309" t="str">
            <v>--</v>
          </cell>
          <cell r="DC309" t="str">
            <v>--</v>
          </cell>
          <cell r="DD309" t="str">
            <v>--</v>
          </cell>
          <cell r="DE309" t="str">
            <v>--</v>
          </cell>
          <cell r="DF309" t="str">
            <v>--</v>
          </cell>
          <cell r="DG309">
            <v>2.9</v>
          </cell>
          <cell r="DH309">
            <v>3.2</v>
          </cell>
          <cell r="DI309">
            <v>0</v>
          </cell>
          <cell r="DJ309">
            <v>1</v>
          </cell>
          <cell r="DK309">
            <v>0</v>
          </cell>
          <cell r="DL309">
            <v>1</v>
          </cell>
          <cell r="DM309">
            <v>1.1000000000000001</v>
          </cell>
          <cell r="DN309">
            <v>1.2</v>
          </cell>
          <cell r="DO309">
            <v>1.3</v>
          </cell>
          <cell r="DP309">
            <v>2.9</v>
          </cell>
          <cell r="DQ309">
            <v>3.2</v>
          </cell>
          <cell r="DR309">
            <v>3.3</v>
          </cell>
          <cell r="DS309">
            <v>3.6</v>
          </cell>
          <cell r="DT309">
            <v>6.5</v>
          </cell>
          <cell r="DU309">
            <v>7.2</v>
          </cell>
          <cell r="DV309">
            <v>7.9</v>
          </cell>
          <cell r="DW309">
            <v>8.6999999999999993</v>
          </cell>
          <cell r="DX309">
            <v>9.5</v>
          </cell>
          <cell r="DY309" t="str">
            <v>--</v>
          </cell>
          <cell r="DZ309" t="str">
            <v>--</v>
          </cell>
          <cell r="EA309" t="str">
            <v>--</v>
          </cell>
          <cell r="EB309" t="str">
            <v>--</v>
          </cell>
          <cell r="EC309" t="str">
            <v>--</v>
          </cell>
          <cell r="ED309" t="str">
            <v>--</v>
          </cell>
          <cell r="EE309" t="str">
            <v>--</v>
          </cell>
          <cell r="EF309" t="str">
            <v>--</v>
          </cell>
          <cell r="EG309" t="str">
            <v>--</v>
          </cell>
        </row>
        <row r="310">
          <cell r="A310" t="str">
            <v>02810045Multi-race, Non-Hisp./Lat.</v>
          </cell>
          <cell r="B310" t="str">
            <v>02810045M</v>
          </cell>
          <cell r="C310" t="str">
            <v>0281</v>
          </cell>
          <cell r="D310" t="str">
            <v>02810045</v>
          </cell>
          <cell r="E310" t="str">
            <v>Springfield</v>
          </cell>
          <cell r="F310" t="str">
            <v>William N. DeBerry</v>
          </cell>
          <cell r="G310" t="str">
            <v>ES</v>
          </cell>
          <cell r="H310" t="str">
            <v>Springfield - William N. DeBerry (02810045)</v>
          </cell>
          <cell r="I310" t="str">
            <v>Multi-race, Non-Hisp./Lat.</v>
          </cell>
          <cell r="J310" t="str">
            <v>02810045Multi-race, Non-Hisp./Lat.</v>
          </cell>
          <cell r="K310" t="str">
            <v>Level 3</v>
          </cell>
          <cell r="L310" t="str">
            <v>--</v>
          </cell>
          <cell r="M310" t="str">
            <v>--</v>
          </cell>
          <cell r="N310" t="str">
            <v>--</v>
          </cell>
          <cell r="O310" t="str">
            <v>--</v>
          </cell>
          <cell r="P310" t="str">
            <v>--</v>
          </cell>
          <cell r="Q310" t="str">
            <v>--</v>
          </cell>
          <cell r="R310" t="str">
            <v>--</v>
          </cell>
          <cell r="S310" t="str">
            <v>--</v>
          </cell>
          <cell r="T310" t="str">
            <v>--</v>
          </cell>
          <cell r="U310" t="str">
            <v>--</v>
          </cell>
          <cell r="V310" t="str">
            <v>--</v>
          </cell>
          <cell r="W310" t="str">
            <v>--</v>
          </cell>
          <cell r="X310" t="str">
            <v>--</v>
          </cell>
          <cell r="Y310" t="str">
            <v>--</v>
          </cell>
          <cell r="Z310" t="str">
            <v>--</v>
          </cell>
          <cell r="AA310" t="str">
            <v>--</v>
          </cell>
          <cell r="AB310" t="str">
            <v>--</v>
          </cell>
          <cell r="AC310" t="str">
            <v>--</v>
          </cell>
          <cell r="AD310" t="str">
            <v>--</v>
          </cell>
          <cell r="AE310" t="str">
            <v>--</v>
          </cell>
          <cell r="AF310" t="str">
            <v>--</v>
          </cell>
          <cell r="AG310" t="str">
            <v>--</v>
          </cell>
          <cell r="AH310" t="str">
            <v>--</v>
          </cell>
          <cell r="AI310" t="str">
            <v>--</v>
          </cell>
          <cell r="AJ310" t="str">
            <v>--</v>
          </cell>
          <cell r="AK310" t="str">
            <v>--</v>
          </cell>
          <cell r="AL310" t="str">
            <v>--</v>
          </cell>
          <cell r="AM310" t="str">
            <v>--</v>
          </cell>
          <cell r="AN310" t="str">
            <v>--</v>
          </cell>
          <cell r="AO310" t="str">
            <v>--</v>
          </cell>
          <cell r="AP310" t="str">
            <v>--</v>
          </cell>
          <cell r="AQ310" t="str">
            <v>--</v>
          </cell>
          <cell r="AR310" t="str">
            <v>--</v>
          </cell>
          <cell r="AS310" t="str">
            <v>--</v>
          </cell>
          <cell r="AT310" t="str">
            <v>--</v>
          </cell>
          <cell r="AU310" t="str">
            <v>--</v>
          </cell>
          <cell r="AV310" t="str">
            <v>--</v>
          </cell>
          <cell r="AW310" t="str">
            <v>--</v>
          </cell>
          <cell r="AX310" t="str">
            <v>--</v>
          </cell>
          <cell r="AY310" t="str">
            <v>--</v>
          </cell>
          <cell r="AZ310" t="str">
            <v>--</v>
          </cell>
          <cell r="BA310" t="str">
            <v>--</v>
          </cell>
          <cell r="BB310" t="str">
            <v>--</v>
          </cell>
          <cell r="BC310" t="str">
            <v>--</v>
          </cell>
          <cell r="BD310" t="str">
            <v>--</v>
          </cell>
          <cell r="BE310" t="str">
            <v>--</v>
          </cell>
          <cell r="BF310" t="str">
            <v>--</v>
          </cell>
          <cell r="BG310" t="str">
            <v>--</v>
          </cell>
          <cell r="BH310" t="str">
            <v>--</v>
          </cell>
          <cell r="BI310" t="str">
            <v>--</v>
          </cell>
          <cell r="BJ310" t="str">
            <v>--</v>
          </cell>
          <cell r="BK310" t="str">
            <v>--</v>
          </cell>
          <cell r="BL310" t="str">
            <v>--</v>
          </cell>
          <cell r="BM310" t="str">
            <v>--</v>
          </cell>
          <cell r="BN310" t="str">
            <v>--</v>
          </cell>
          <cell r="BO310" t="str">
            <v>--</v>
          </cell>
          <cell r="BP310" t="str">
            <v>--</v>
          </cell>
          <cell r="BQ310" t="str">
            <v>--</v>
          </cell>
          <cell r="BR310" t="str">
            <v>--</v>
          </cell>
          <cell r="BS310" t="str">
            <v>--</v>
          </cell>
          <cell r="BT310" t="str">
            <v>--</v>
          </cell>
          <cell r="BU310" t="str">
            <v>--</v>
          </cell>
          <cell r="BV310" t="str">
            <v>--</v>
          </cell>
          <cell r="BW310" t="str">
            <v>--</v>
          </cell>
          <cell r="BX310" t="str">
            <v>--</v>
          </cell>
          <cell r="BY310" t="str">
            <v>--</v>
          </cell>
          <cell r="BZ310" t="str">
            <v>--</v>
          </cell>
          <cell r="CA310" t="str">
            <v>--</v>
          </cell>
          <cell r="CB310" t="str">
            <v>--</v>
          </cell>
          <cell r="CC310" t="str">
            <v>--</v>
          </cell>
          <cell r="CD310" t="str">
            <v>--</v>
          </cell>
          <cell r="CE310" t="str">
            <v>--</v>
          </cell>
          <cell r="CF310" t="str">
            <v>--</v>
          </cell>
          <cell r="CG310" t="str">
            <v>--</v>
          </cell>
          <cell r="CH310" t="str">
            <v>--</v>
          </cell>
          <cell r="CI310" t="str">
            <v>--</v>
          </cell>
          <cell r="CJ310" t="str">
            <v>--</v>
          </cell>
          <cell r="CK310" t="str">
            <v>--</v>
          </cell>
          <cell r="CL310" t="str">
            <v>--</v>
          </cell>
          <cell r="CM310" t="str">
            <v>--</v>
          </cell>
          <cell r="CN310" t="str">
            <v>--</v>
          </cell>
          <cell r="CO310" t="str">
            <v>--</v>
          </cell>
          <cell r="CP310" t="str">
            <v>--</v>
          </cell>
          <cell r="CQ310" t="str">
            <v>--</v>
          </cell>
          <cell r="CR310" t="str">
            <v>--</v>
          </cell>
          <cell r="CS310" t="str">
            <v>--</v>
          </cell>
          <cell r="CT310" t="str">
            <v>--</v>
          </cell>
          <cell r="CU310" t="str">
            <v>--</v>
          </cell>
          <cell r="CV310" t="str">
            <v>--</v>
          </cell>
          <cell r="CW310" t="str">
            <v>--</v>
          </cell>
          <cell r="CX310" t="str">
            <v>--</v>
          </cell>
          <cell r="CY310" t="str">
            <v>--</v>
          </cell>
          <cell r="CZ310" t="str">
            <v>--</v>
          </cell>
          <cell r="DA310" t="str">
            <v>--</v>
          </cell>
          <cell r="DB310" t="str">
            <v>--</v>
          </cell>
          <cell r="DC310" t="str">
            <v>--</v>
          </cell>
          <cell r="DD310" t="str">
            <v>--</v>
          </cell>
          <cell r="DE310" t="str">
            <v>--</v>
          </cell>
          <cell r="DF310" t="str">
            <v>--</v>
          </cell>
          <cell r="DG310" t="str">
            <v>--</v>
          </cell>
          <cell r="DH310" t="str">
            <v>--</v>
          </cell>
          <cell r="DI310" t="str">
            <v>--</v>
          </cell>
          <cell r="DJ310" t="str">
            <v>--</v>
          </cell>
          <cell r="DK310" t="str">
            <v>--</v>
          </cell>
          <cell r="DL310" t="str">
            <v>--</v>
          </cell>
          <cell r="DM310" t="str">
            <v>--</v>
          </cell>
          <cell r="DN310" t="str">
            <v>--</v>
          </cell>
          <cell r="DO310" t="str">
            <v>--</v>
          </cell>
          <cell r="DP310" t="str">
            <v>--</v>
          </cell>
          <cell r="DQ310" t="str">
            <v>--</v>
          </cell>
          <cell r="DR310" t="str">
            <v>--</v>
          </cell>
          <cell r="DS310" t="str">
            <v>--</v>
          </cell>
          <cell r="DT310" t="str">
            <v>--</v>
          </cell>
          <cell r="DU310" t="str">
            <v>--</v>
          </cell>
          <cell r="DV310" t="str">
            <v>--</v>
          </cell>
          <cell r="DW310" t="str">
            <v>--</v>
          </cell>
          <cell r="DX310" t="str">
            <v>--</v>
          </cell>
          <cell r="DY310" t="str">
            <v>--</v>
          </cell>
          <cell r="DZ310" t="str">
            <v>--</v>
          </cell>
          <cell r="EA310" t="str">
            <v>--</v>
          </cell>
          <cell r="EB310" t="str">
            <v>--</v>
          </cell>
          <cell r="EC310" t="str">
            <v>--</v>
          </cell>
          <cell r="ED310" t="str">
            <v>--</v>
          </cell>
          <cell r="EE310" t="str">
            <v>--</v>
          </cell>
          <cell r="EF310" t="str">
            <v>--</v>
          </cell>
          <cell r="EG310" t="str">
            <v>--</v>
          </cell>
        </row>
        <row r="311">
          <cell r="A311" t="str">
            <v>02810045Amer. Ind. or Alaska Nat.</v>
          </cell>
          <cell r="B311" t="str">
            <v>02810045N</v>
          </cell>
          <cell r="C311" t="str">
            <v>0281</v>
          </cell>
          <cell r="D311" t="str">
            <v>02810045</v>
          </cell>
          <cell r="E311" t="str">
            <v>Springfield</v>
          </cell>
          <cell r="F311" t="str">
            <v>William N. DeBerry</v>
          </cell>
          <cell r="G311" t="str">
            <v>ES</v>
          </cell>
          <cell r="H311" t="str">
            <v>Springfield - William N. DeBerry (02810045)</v>
          </cell>
          <cell r="I311" t="str">
            <v>Amer. Ind. or Alaska Nat.</v>
          </cell>
          <cell r="J311" t="str">
            <v>02810045Amer. Ind. or Alaska Nat.</v>
          </cell>
          <cell r="K311" t="str">
            <v>--</v>
          </cell>
          <cell r="L311" t="str">
            <v>--</v>
          </cell>
          <cell r="M311" t="str">
            <v>--</v>
          </cell>
          <cell r="N311" t="str">
            <v>--</v>
          </cell>
          <cell r="O311" t="str">
            <v>--</v>
          </cell>
          <cell r="P311" t="str">
            <v>--</v>
          </cell>
          <cell r="Q311" t="str">
            <v>--</v>
          </cell>
          <cell r="R311" t="str">
            <v>--</v>
          </cell>
          <cell r="S311" t="str">
            <v>--</v>
          </cell>
          <cell r="T311" t="str">
            <v>--</v>
          </cell>
          <cell r="U311" t="str">
            <v>--</v>
          </cell>
          <cell r="V311" t="str">
            <v>--</v>
          </cell>
          <cell r="W311" t="str">
            <v>--</v>
          </cell>
          <cell r="X311" t="str">
            <v>--</v>
          </cell>
          <cell r="Y311" t="str">
            <v>--</v>
          </cell>
          <cell r="Z311" t="str">
            <v>--</v>
          </cell>
          <cell r="AA311" t="str">
            <v>--</v>
          </cell>
          <cell r="AB311" t="str">
            <v>--</v>
          </cell>
          <cell r="AC311" t="str">
            <v>--</v>
          </cell>
          <cell r="AD311" t="str">
            <v>--</v>
          </cell>
          <cell r="AE311" t="str">
            <v>--</v>
          </cell>
          <cell r="AF311" t="str">
            <v>--</v>
          </cell>
          <cell r="AG311" t="str">
            <v>--</v>
          </cell>
          <cell r="AH311" t="str">
            <v>--</v>
          </cell>
          <cell r="AI311" t="str">
            <v>--</v>
          </cell>
          <cell r="AJ311" t="str">
            <v>--</v>
          </cell>
          <cell r="AK311" t="str">
            <v>--</v>
          </cell>
          <cell r="AL311" t="str">
            <v>--</v>
          </cell>
          <cell r="AM311" t="str">
            <v>--</v>
          </cell>
          <cell r="AN311" t="str">
            <v>--</v>
          </cell>
          <cell r="AO311" t="str">
            <v>--</v>
          </cell>
          <cell r="AP311" t="str">
            <v>--</v>
          </cell>
          <cell r="AQ311" t="str">
            <v>--</v>
          </cell>
          <cell r="AR311" t="str">
            <v>--</v>
          </cell>
          <cell r="AS311" t="str">
            <v>--</v>
          </cell>
          <cell r="AT311" t="str">
            <v>--</v>
          </cell>
          <cell r="AU311" t="str">
            <v>--</v>
          </cell>
          <cell r="AV311" t="str">
            <v>--</v>
          </cell>
          <cell r="AW311" t="str">
            <v>--</v>
          </cell>
          <cell r="AX311" t="str">
            <v>--</v>
          </cell>
          <cell r="AY311" t="str">
            <v>--</v>
          </cell>
          <cell r="AZ311" t="str">
            <v>--</v>
          </cell>
          <cell r="BA311" t="str">
            <v>--</v>
          </cell>
          <cell r="BB311" t="str">
            <v>--</v>
          </cell>
          <cell r="BC311" t="str">
            <v>--</v>
          </cell>
          <cell r="BD311" t="str">
            <v>--</v>
          </cell>
          <cell r="BE311" t="str">
            <v>--</v>
          </cell>
          <cell r="BF311" t="str">
            <v>--</v>
          </cell>
          <cell r="BG311" t="str">
            <v>--</v>
          </cell>
          <cell r="BH311" t="str">
            <v>--</v>
          </cell>
          <cell r="BI311" t="str">
            <v>--</v>
          </cell>
          <cell r="BJ311" t="str">
            <v>--</v>
          </cell>
          <cell r="BK311" t="str">
            <v>--</v>
          </cell>
          <cell r="BL311" t="str">
            <v>--</v>
          </cell>
          <cell r="BM311" t="str">
            <v>--</v>
          </cell>
          <cell r="BN311" t="str">
            <v>--</v>
          </cell>
          <cell r="BO311" t="str">
            <v>--</v>
          </cell>
          <cell r="BP311" t="str">
            <v>--</v>
          </cell>
          <cell r="BQ311" t="str">
            <v>--</v>
          </cell>
          <cell r="BR311" t="str">
            <v>--</v>
          </cell>
          <cell r="BS311" t="str">
            <v>--</v>
          </cell>
          <cell r="BT311" t="str">
            <v>--</v>
          </cell>
          <cell r="BU311" t="str">
            <v>--</v>
          </cell>
          <cell r="BV311" t="str">
            <v>--</v>
          </cell>
          <cell r="BW311" t="str">
            <v>--</v>
          </cell>
          <cell r="BX311" t="str">
            <v>--</v>
          </cell>
          <cell r="BY311" t="str">
            <v>--</v>
          </cell>
          <cell r="BZ311" t="str">
            <v>--</v>
          </cell>
          <cell r="CA311" t="str">
            <v>--</v>
          </cell>
          <cell r="CB311" t="str">
            <v>--</v>
          </cell>
          <cell r="CC311" t="str">
            <v>--</v>
          </cell>
          <cell r="CD311" t="str">
            <v>--</v>
          </cell>
          <cell r="CE311" t="str">
            <v>--</v>
          </cell>
          <cell r="CF311" t="str">
            <v>--</v>
          </cell>
          <cell r="CG311" t="str">
            <v>--</v>
          </cell>
          <cell r="CH311" t="str">
            <v>--</v>
          </cell>
          <cell r="CI311" t="str">
            <v>--</v>
          </cell>
          <cell r="CJ311" t="str">
            <v>--</v>
          </cell>
          <cell r="CK311" t="str">
            <v>--</v>
          </cell>
          <cell r="CL311" t="str">
            <v>--</v>
          </cell>
          <cell r="CM311" t="str">
            <v>--</v>
          </cell>
          <cell r="CN311" t="str">
            <v>--</v>
          </cell>
          <cell r="CO311" t="str">
            <v>--</v>
          </cell>
          <cell r="CP311" t="str">
            <v>--</v>
          </cell>
          <cell r="CQ311" t="str">
            <v>--</v>
          </cell>
          <cell r="CR311" t="str">
            <v>--</v>
          </cell>
          <cell r="CS311" t="str">
            <v>--</v>
          </cell>
          <cell r="CT311" t="str">
            <v>--</v>
          </cell>
          <cell r="CU311" t="str">
            <v>--</v>
          </cell>
          <cell r="CV311" t="str">
            <v>--</v>
          </cell>
          <cell r="CW311" t="str">
            <v>--</v>
          </cell>
          <cell r="CX311" t="str">
            <v>--</v>
          </cell>
          <cell r="CY311" t="str">
            <v>--</v>
          </cell>
          <cell r="CZ311" t="str">
            <v>--</v>
          </cell>
          <cell r="DA311" t="str">
            <v>--</v>
          </cell>
          <cell r="DB311" t="str">
            <v>--</v>
          </cell>
          <cell r="DC311" t="str">
            <v>--</v>
          </cell>
          <cell r="DD311" t="str">
            <v>--</v>
          </cell>
          <cell r="DE311" t="str">
            <v>--</v>
          </cell>
          <cell r="DF311" t="str">
            <v>--</v>
          </cell>
          <cell r="DG311" t="str">
            <v>--</v>
          </cell>
          <cell r="DH311" t="str">
            <v>--</v>
          </cell>
          <cell r="DI311" t="str">
            <v>--</v>
          </cell>
          <cell r="DJ311" t="str">
            <v>--</v>
          </cell>
          <cell r="DK311" t="str">
            <v>--</v>
          </cell>
          <cell r="DL311" t="str">
            <v>--</v>
          </cell>
          <cell r="DM311" t="str">
            <v>--</v>
          </cell>
          <cell r="DN311" t="str">
            <v>--</v>
          </cell>
          <cell r="DO311" t="str">
            <v>--</v>
          </cell>
          <cell r="DP311" t="str">
            <v>--</v>
          </cell>
          <cell r="DQ311" t="str">
            <v>--</v>
          </cell>
          <cell r="DR311" t="str">
            <v>--</v>
          </cell>
          <cell r="DS311" t="str">
            <v>--</v>
          </cell>
          <cell r="DT311" t="str">
            <v>--</v>
          </cell>
          <cell r="DU311" t="str">
            <v>--</v>
          </cell>
          <cell r="DV311" t="str">
            <v>--</v>
          </cell>
          <cell r="DW311" t="str">
            <v>--</v>
          </cell>
          <cell r="DX311" t="str">
            <v>--</v>
          </cell>
          <cell r="DY311" t="str">
            <v>--</v>
          </cell>
          <cell r="DZ311" t="str">
            <v>--</v>
          </cell>
          <cell r="EA311" t="str">
            <v>--</v>
          </cell>
          <cell r="EB311" t="str">
            <v>--</v>
          </cell>
          <cell r="EC311" t="str">
            <v>--</v>
          </cell>
          <cell r="ED311" t="str">
            <v>--</v>
          </cell>
          <cell r="EE311" t="str">
            <v>--</v>
          </cell>
          <cell r="EF311" t="str">
            <v>--</v>
          </cell>
          <cell r="EG311" t="str">
            <v>--</v>
          </cell>
        </row>
        <row r="312">
          <cell r="A312" t="str">
            <v>02810045Nat. Haw. or Pacif. Isl.</v>
          </cell>
          <cell r="B312" t="str">
            <v>02810045P</v>
          </cell>
          <cell r="C312" t="str">
            <v>0281</v>
          </cell>
          <cell r="D312" t="str">
            <v>02810045</v>
          </cell>
          <cell r="E312" t="str">
            <v>Springfield</v>
          </cell>
          <cell r="F312" t="str">
            <v>William N. DeBerry</v>
          </cell>
          <cell r="G312" t="str">
            <v>ES</v>
          </cell>
          <cell r="H312" t="str">
            <v>Springfield - William N. DeBerry (02810045)</v>
          </cell>
          <cell r="I312" t="str">
            <v>Nat. Haw. or Pacif. Isl.</v>
          </cell>
          <cell r="J312" t="str">
            <v>02810045Nat. Haw. or Pacif. Isl.</v>
          </cell>
          <cell r="K312" t="str">
            <v>Level 3</v>
          </cell>
          <cell r="L312" t="str">
            <v>--</v>
          </cell>
          <cell r="M312" t="str">
            <v>--</v>
          </cell>
          <cell r="N312" t="str">
            <v>--</v>
          </cell>
          <cell r="O312" t="str">
            <v>--</v>
          </cell>
          <cell r="P312" t="str">
            <v>--</v>
          </cell>
          <cell r="Q312" t="str">
            <v>--</v>
          </cell>
          <cell r="R312" t="str">
            <v>--</v>
          </cell>
          <cell r="S312" t="str">
            <v>--</v>
          </cell>
          <cell r="T312" t="str">
            <v>--</v>
          </cell>
          <cell r="U312" t="str">
            <v>--</v>
          </cell>
          <cell r="V312" t="str">
            <v>--</v>
          </cell>
          <cell r="W312" t="str">
            <v>--</v>
          </cell>
          <cell r="X312" t="str">
            <v>--</v>
          </cell>
          <cell r="Y312" t="str">
            <v>--</v>
          </cell>
          <cell r="Z312" t="str">
            <v>--</v>
          </cell>
          <cell r="AA312" t="str">
            <v>--</v>
          </cell>
          <cell r="AB312" t="str">
            <v>--</v>
          </cell>
          <cell r="AC312" t="str">
            <v>--</v>
          </cell>
          <cell r="AD312" t="str">
            <v>--</v>
          </cell>
          <cell r="AE312" t="str">
            <v>--</v>
          </cell>
          <cell r="AF312" t="str">
            <v>--</v>
          </cell>
          <cell r="AG312" t="str">
            <v>--</v>
          </cell>
          <cell r="AH312" t="str">
            <v>--</v>
          </cell>
          <cell r="AI312" t="str">
            <v>--</v>
          </cell>
          <cell r="AJ312" t="str">
            <v>--</v>
          </cell>
          <cell r="AK312" t="str">
            <v>--</v>
          </cell>
          <cell r="AL312" t="str">
            <v>--</v>
          </cell>
          <cell r="AM312" t="str">
            <v>--</v>
          </cell>
          <cell r="AN312" t="str">
            <v>--</v>
          </cell>
          <cell r="AO312" t="str">
            <v>--</v>
          </cell>
          <cell r="AP312" t="str">
            <v>--</v>
          </cell>
          <cell r="AQ312" t="str">
            <v>--</v>
          </cell>
          <cell r="AR312" t="str">
            <v>--</v>
          </cell>
          <cell r="AS312" t="str">
            <v>--</v>
          </cell>
          <cell r="AT312" t="str">
            <v>--</v>
          </cell>
          <cell r="AU312" t="str">
            <v>--</v>
          </cell>
          <cell r="AV312" t="str">
            <v>--</v>
          </cell>
          <cell r="AW312" t="str">
            <v>--</v>
          </cell>
          <cell r="AX312" t="str">
            <v>--</v>
          </cell>
          <cell r="AY312" t="str">
            <v>--</v>
          </cell>
          <cell r="AZ312" t="str">
            <v>--</v>
          </cell>
          <cell r="BA312" t="str">
            <v>--</v>
          </cell>
          <cell r="BB312" t="str">
            <v>--</v>
          </cell>
          <cell r="BC312" t="str">
            <v>--</v>
          </cell>
          <cell r="BD312" t="str">
            <v>--</v>
          </cell>
          <cell r="BE312" t="str">
            <v>--</v>
          </cell>
          <cell r="BF312" t="str">
            <v>--</v>
          </cell>
          <cell r="BG312" t="str">
            <v>--</v>
          </cell>
          <cell r="BH312" t="str">
            <v>--</v>
          </cell>
          <cell r="BI312" t="str">
            <v>--</v>
          </cell>
          <cell r="BJ312" t="str">
            <v>--</v>
          </cell>
          <cell r="BK312" t="str">
            <v>--</v>
          </cell>
          <cell r="BL312" t="str">
            <v>--</v>
          </cell>
          <cell r="BM312" t="str">
            <v>--</v>
          </cell>
          <cell r="BN312" t="str">
            <v>--</v>
          </cell>
          <cell r="BO312" t="str">
            <v>--</v>
          </cell>
          <cell r="BP312" t="str">
            <v>--</v>
          </cell>
          <cell r="BQ312" t="str">
            <v>--</v>
          </cell>
          <cell r="BR312" t="str">
            <v>--</v>
          </cell>
          <cell r="BS312" t="str">
            <v>--</v>
          </cell>
          <cell r="BT312" t="str">
            <v>--</v>
          </cell>
          <cell r="BU312" t="str">
            <v>--</v>
          </cell>
          <cell r="BV312" t="str">
            <v>--</v>
          </cell>
          <cell r="BW312" t="str">
            <v>--</v>
          </cell>
          <cell r="BX312" t="str">
            <v>--</v>
          </cell>
          <cell r="BY312" t="str">
            <v>--</v>
          </cell>
          <cell r="BZ312" t="str">
            <v>--</v>
          </cell>
          <cell r="CA312" t="str">
            <v>--</v>
          </cell>
          <cell r="CB312" t="str">
            <v>--</v>
          </cell>
          <cell r="CC312" t="str">
            <v>--</v>
          </cell>
          <cell r="CD312" t="str">
            <v>--</v>
          </cell>
          <cell r="CE312" t="str">
            <v>--</v>
          </cell>
          <cell r="CF312" t="str">
            <v>--</v>
          </cell>
          <cell r="CG312" t="str">
            <v>--</v>
          </cell>
          <cell r="CH312" t="str">
            <v>--</v>
          </cell>
          <cell r="CI312" t="str">
            <v>--</v>
          </cell>
          <cell r="CJ312" t="str">
            <v>--</v>
          </cell>
          <cell r="CK312" t="str">
            <v>--</v>
          </cell>
          <cell r="CL312" t="str">
            <v>--</v>
          </cell>
          <cell r="CM312" t="str">
            <v>--</v>
          </cell>
          <cell r="CN312" t="str">
            <v>--</v>
          </cell>
          <cell r="CO312" t="str">
            <v>--</v>
          </cell>
          <cell r="CP312" t="str">
            <v>--</v>
          </cell>
          <cell r="CQ312" t="str">
            <v>--</v>
          </cell>
          <cell r="CR312" t="str">
            <v>--</v>
          </cell>
          <cell r="CS312" t="str">
            <v>--</v>
          </cell>
          <cell r="CT312" t="str">
            <v>--</v>
          </cell>
          <cell r="CU312" t="str">
            <v>--</v>
          </cell>
          <cell r="CV312" t="str">
            <v>--</v>
          </cell>
          <cell r="CW312" t="str">
            <v>--</v>
          </cell>
          <cell r="CX312" t="str">
            <v>--</v>
          </cell>
          <cell r="CY312" t="str">
            <v>--</v>
          </cell>
          <cell r="CZ312" t="str">
            <v>--</v>
          </cell>
          <cell r="DA312" t="str">
            <v>--</v>
          </cell>
          <cell r="DB312" t="str">
            <v>--</v>
          </cell>
          <cell r="DC312" t="str">
            <v>--</v>
          </cell>
          <cell r="DD312" t="str">
            <v>--</v>
          </cell>
          <cell r="DE312" t="str">
            <v>--</v>
          </cell>
          <cell r="DF312" t="str">
            <v>--</v>
          </cell>
          <cell r="DG312" t="str">
            <v>--</v>
          </cell>
          <cell r="DH312" t="str">
            <v>--</v>
          </cell>
          <cell r="DI312" t="str">
            <v>--</v>
          </cell>
          <cell r="DJ312" t="str">
            <v>--</v>
          </cell>
          <cell r="DK312" t="str">
            <v>--</v>
          </cell>
          <cell r="DL312" t="str">
            <v>--</v>
          </cell>
          <cell r="DM312" t="str">
            <v>--</v>
          </cell>
          <cell r="DN312" t="str">
            <v>--</v>
          </cell>
          <cell r="DO312" t="str">
            <v>--</v>
          </cell>
          <cell r="DP312" t="str">
            <v>--</v>
          </cell>
          <cell r="DQ312" t="str">
            <v>--</v>
          </cell>
          <cell r="DR312" t="str">
            <v>--</v>
          </cell>
          <cell r="DS312" t="str">
            <v>--</v>
          </cell>
          <cell r="DT312" t="str">
            <v>--</v>
          </cell>
          <cell r="DU312" t="str">
            <v>--</v>
          </cell>
          <cell r="DV312" t="str">
            <v>--</v>
          </cell>
          <cell r="DW312" t="str">
            <v>--</v>
          </cell>
          <cell r="DX312" t="str">
            <v>--</v>
          </cell>
          <cell r="DY312" t="str">
            <v>--</v>
          </cell>
          <cell r="DZ312" t="str">
            <v>--</v>
          </cell>
          <cell r="EA312" t="str">
            <v>--</v>
          </cell>
          <cell r="EB312" t="str">
            <v>--</v>
          </cell>
          <cell r="EC312" t="str">
            <v>--</v>
          </cell>
          <cell r="ED312" t="str">
            <v>--</v>
          </cell>
          <cell r="EE312" t="str">
            <v>--</v>
          </cell>
          <cell r="EF312" t="str">
            <v>--</v>
          </cell>
          <cell r="EG312" t="str">
            <v>--</v>
          </cell>
        </row>
        <row r="313">
          <cell r="A313" t="str">
            <v>02810045High needs</v>
          </cell>
          <cell r="B313" t="str">
            <v>02810045S</v>
          </cell>
          <cell r="C313" t="str">
            <v>0281</v>
          </cell>
          <cell r="D313" t="str">
            <v>02810045</v>
          </cell>
          <cell r="E313" t="str">
            <v>Springfield</v>
          </cell>
          <cell r="F313" t="str">
            <v>William N. DeBerry</v>
          </cell>
          <cell r="G313" t="str">
            <v>ES</v>
          </cell>
          <cell r="H313" t="str">
            <v>Springfield - William N. DeBerry (02810045)</v>
          </cell>
          <cell r="I313" t="str">
            <v>High needs</v>
          </cell>
          <cell r="J313" t="str">
            <v>02810045High needs</v>
          </cell>
          <cell r="K313" t="str">
            <v>Level 3</v>
          </cell>
          <cell r="L313">
            <v>58.9</v>
          </cell>
          <cell r="M313">
            <v>62.3</v>
          </cell>
          <cell r="N313">
            <v>56.9</v>
          </cell>
          <cell r="O313">
            <v>65.8</v>
          </cell>
          <cell r="P313">
            <v>57.1</v>
          </cell>
          <cell r="Q313">
            <v>69.2</v>
          </cell>
          <cell r="R313">
            <v>72.599999999999994</v>
          </cell>
          <cell r="S313">
            <v>76</v>
          </cell>
          <cell r="T313">
            <v>79.5</v>
          </cell>
          <cell r="U313">
            <v>61.2</v>
          </cell>
          <cell r="V313">
            <v>64.400000000000006</v>
          </cell>
          <cell r="W313">
            <v>48.1</v>
          </cell>
          <cell r="X313">
            <v>67.7</v>
          </cell>
          <cell r="Y313">
            <v>57.2</v>
          </cell>
          <cell r="Z313">
            <v>70.900000000000006</v>
          </cell>
          <cell r="AA313">
            <v>74.099999999999994</v>
          </cell>
          <cell r="AB313">
            <v>77.400000000000006</v>
          </cell>
          <cell r="AC313">
            <v>80.599999999999994</v>
          </cell>
          <cell r="AD313">
            <v>52.8</v>
          </cell>
          <cell r="AE313">
            <v>56.7</v>
          </cell>
          <cell r="AF313">
            <v>53.4</v>
          </cell>
          <cell r="AG313">
            <v>60.7</v>
          </cell>
          <cell r="AH313">
            <v>52.6</v>
          </cell>
          <cell r="AI313">
            <v>64.599999999999994</v>
          </cell>
          <cell r="AJ313">
            <v>68.5</v>
          </cell>
          <cell r="AK313">
            <v>72.5</v>
          </cell>
          <cell r="AL313">
            <v>76.400000000000006</v>
          </cell>
          <cell r="AM313" t="str">
            <v>--</v>
          </cell>
          <cell r="AN313" t="str">
            <v>--</v>
          </cell>
          <cell r="AO313" t="str">
            <v>--</v>
          </cell>
          <cell r="AP313" t="str">
            <v>--</v>
          </cell>
          <cell r="AQ313" t="str">
            <v>--</v>
          </cell>
          <cell r="AR313" t="str">
            <v>--</v>
          </cell>
          <cell r="AS313" t="str">
            <v>--</v>
          </cell>
          <cell r="AT313" t="str">
            <v>--</v>
          </cell>
          <cell r="AU313" t="str">
            <v>--</v>
          </cell>
          <cell r="AV313" t="str">
            <v>--</v>
          </cell>
          <cell r="AW313" t="str">
            <v>--</v>
          </cell>
          <cell r="AX313" t="str">
            <v>--</v>
          </cell>
          <cell r="AY313" t="str">
            <v>--</v>
          </cell>
          <cell r="AZ313" t="str">
            <v>--</v>
          </cell>
          <cell r="BA313" t="str">
            <v>--</v>
          </cell>
          <cell r="BB313" t="str">
            <v>--</v>
          </cell>
          <cell r="BC313" t="str">
            <v>--</v>
          </cell>
          <cell r="BD313" t="str">
            <v>--</v>
          </cell>
          <cell r="BE313" t="str">
            <v>--</v>
          </cell>
          <cell r="BF313" t="str">
            <v>--</v>
          </cell>
          <cell r="BG313" t="str">
            <v>--</v>
          </cell>
          <cell r="BH313" t="str">
            <v>--</v>
          </cell>
          <cell r="BI313" t="str">
            <v>--</v>
          </cell>
          <cell r="BJ313" t="str">
            <v>--</v>
          </cell>
          <cell r="BK313" t="str">
            <v>--</v>
          </cell>
          <cell r="BL313" t="str">
            <v>--</v>
          </cell>
          <cell r="BM313" t="str">
            <v>--</v>
          </cell>
          <cell r="BN313">
            <v>39.5</v>
          </cell>
          <cell r="BO313">
            <v>49.5</v>
          </cell>
          <cell r="BP313">
            <v>41</v>
          </cell>
          <cell r="BQ313">
            <v>51</v>
          </cell>
          <cell r="BR313">
            <v>42.5</v>
          </cell>
          <cell r="BS313">
            <v>51</v>
          </cell>
          <cell r="BT313">
            <v>51</v>
          </cell>
          <cell r="BU313">
            <v>51</v>
          </cell>
          <cell r="BV313">
            <v>51</v>
          </cell>
          <cell r="BW313">
            <v>43.5</v>
          </cell>
          <cell r="BX313">
            <v>51</v>
          </cell>
          <cell r="BY313">
            <v>19</v>
          </cell>
          <cell r="BZ313">
            <v>29</v>
          </cell>
          <cell r="CA313">
            <v>51</v>
          </cell>
          <cell r="CB313">
            <v>51</v>
          </cell>
          <cell r="CC313">
            <v>51</v>
          </cell>
          <cell r="CD313">
            <v>51</v>
          </cell>
          <cell r="CE313">
            <v>51</v>
          </cell>
          <cell r="CF313">
            <v>29.1</v>
          </cell>
          <cell r="CG313">
            <v>26.2</v>
          </cell>
          <cell r="CH313">
            <v>33.299999999999997</v>
          </cell>
          <cell r="CI313">
            <v>30</v>
          </cell>
          <cell r="CJ313">
            <v>32.700000000000003</v>
          </cell>
          <cell r="CK313">
            <v>29.4</v>
          </cell>
          <cell r="CL313">
            <v>26.5</v>
          </cell>
          <cell r="CM313">
            <v>23.8</v>
          </cell>
          <cell r="CN313">
            <v>21.5</v>
          </cell>
          <cell r="CO313">
            <v>27.5</v>
          </cell>
          <cell r="CP313">
            <v>24.8</v>
          </cell>
          <cell r="CQ313">
            <v>47.7</v>
          </cell>
          <cell r="CR313">
            <v>42.9</v>
          </cell>
          <cell r="CS313">
            <v>30.9</v>
          </cell>
          <cell r="CT313">
            <v>27.8</v>
          </cell>
          <cell r="CU313">
            <v>25</v>
          </cell>
          <cell r="CV313">
            <v>22.5</v>
          </cell>
          <cell r="CW313">
            <v>20.3</v>
          </cell>
          <cell r="CX313">
            <v>38.6</v>
          </cell>
          <cell r="CY313">
            <v>34.700000000000003</v>
          </cell>
          <cell r="CZ313">
            <v>35.1</v>
          </cell>
          <cell r="DA313">
            <v>31.6</v>
          </cell>
          <cell r="DB313">
            <v>42.1</v>
          </cell>
          <cell r="DC313">
            <v>37.9</v>
          </cell>
          <cell r="DD313">
            <v>34.1</v>
          </cell>
          <cell r="DE313">
            <v>30.7</v>
          </cell>
          <cell r="DF313">
            <v>27.6</v>
          </cell>
          <cell r="DG313">
            <v>0.9</v>
          </cell>
          <cell r="DH313">
            <v>1</v>
          </cell>
          <cell r="DI313">
            <v>0</v>
          </cell>
          <cell r="DJ313">
            <v>1</v>
          </cell>
          <cell r="DK313">
            <v>1</v>
          </cell>
          <cell r="DL313">
            <v>1.1000000000000001</v>
          </cell>
          <cell r="DM313">
            <v>1.2</v>
          </cell>
          <cell r="DN313">
            <v>1.3</v>
          </cell>
          <cell r="DO313">
            <v>1.5</v>
          </cell>
          <cell r="DP313">
            <v>3.7</v>
          </cell>
          <cell r="DQ313">
            <v>4.0999999999999996</v>
          </cell>
          <cell r="DR313">
            <v>0.9</v>
          </cell>
          <cell r="DS313">
            <v>1</v>
          </cell>
          <cell r="DT313">
            <v>7.2</v>
          </cell>
          <cell r="DU313">
            <v>7.9</v>
          </cell>
          <cell r="DV313">
            <v>8.6999999999999993</v>
          </cell>
          <cell r="DW313">
            <v>9.6</v>
          </cell>
          <cell r="DX313">
            <v>10.5</v>
          </cell>
          <cell r="DY313">
            <v>0</v>
          </cell>
          <cell r="DZ313">
            <v>1</v>
          </cell>
          <cell r="EA313">
            <v>0</v>
          </cell>
          <cell r="EB313">
            <v>1</v>
          </cell>
          <cell r="EC313">
            <v>0</v>
          </cell>
          <cell r="ED313">
            <v>1</v>
          </cell>
          <cell r="EE313">
            <v>1.1000000000000001</v>
          </cell>
          <cell r="EF313">
            <v>1.2</v>
          </cell>
          <cell r="EG313">
            <v>1.3</v>
          </cell>
        </row>
        <row r="314">
          <cell r="A314" t="str">
            <v>02810045All students</v>
          </cell>
          <cell r="B314" t="str">
            <v>02810045T</v>
          </cell>
          <cell r="C314" t="str">
            <v>0281</v>
          </cell>
          <cell r="D314" t="str">
            <v>02810045</v>
          </cell>
          <cell r="E314" t="str">
            <v>Springfield</v>
          </cell>
          <cell r="F314" t="str">
            <v>William N. DeBerry</v>
          </cell>
          <cell r="G314" t="str">
            <v>ES</v>
          </cell>
          <cell r="H314" t="str">
            <v>Springfield - William N. DeBerry (02810045)</v>
          </cell>
          <cell r="I314" t="str">
            <v>All students</v>
          </cell>
          <cell r="J314" t="str">
            <v>02810045All students</v>
          </cell>
          <cell r="K314" t="str">
            <v>Level 3</v>
          </cell>
          <cell r="L314">
            <v>59.2</v>
          </cell>
          <cell r="M314">
            <v>62.6</v>
          </cell>
          <cell r="N314">
            <v>56.9</v>
          </cell>
          <cell r="O314">
            <v>66</v>
          </cell>
          <cell r="P314">
            <v>57.9</v>
          </cell>
          <cell r="Q314">
            <v>69.400000000000006</v>
          </cell>
          <cell r="R314">
            <v>72.8</v>
          </cell>
          <cell r="S314">
            <v>76.2</v>
          </cell>
          <cell r="T314">
            <v>79.599999999999994</v>
          </cell>
          <cell r="U314">
            <v>61.5</v>
          </cell>
          <cell r="V314">
            <v>64.7</v>
          </cell>
          <cell r="W314">
            <v>48.1</v>
          </cell>
          <cell r="X314">
            <v>67.900000000000006</v>
          </cell>
          <cell r="Y314">
            <v>57.8</v>
          </cell>
          <cell r="Z314">
            <v>71.099999999999994</v>
          </cell>
          <cell r="AA314">
            <v>74.3</v>
          </cell>
          <cell r="AB314">
            <v>77.5</v>
          </cell>
          <cell r="AC314">
            <v>80.8</v>
          </cell>
          <cell r="AD314">
            <v>52.8</v>
          </cell>
          <cell r="AE314">
            <v>56.7</v>
          </cell>
          <cell r="AF314">
            <v>53.4</v>
          </cell>
          <cell r="AG314">
            <v>60.7</v>
          </cell>
          <cell r="AH314">
            <v>53.8</v>
          </cell>
          <cell r="AI314">
            <v>64.599999999999994</v>
          </cell>
          <cell r="AJ314">
            <v>68.5</v>
          </cell>
          <cell r="AK314">
            <v>72.5</v>
          </cell>
          <cell r="AL314">
            <v>76.400000000000006</v>
          </cell>
          <cell r="AM314" t="str">
            <v>--</v>
          </cell>
          <cell r="AN314" t="str">
            <v>--</v>
          </cell>
          <cell r="AO314" t="str">
            <v>--</v>
          </cell>
          <cell r="AP314" t="str">
            <v>--</v>
          </cell>
          <cell r="AQ314" t="str">
            <v>--</v>
          </cell>
          <cell r="AR314" t="str">
            <v>--</v>
          </cell>
          <cell r="AS314" t="str">
            <v>--</v>
          </cell>
          <cell r="AT314" t="str">
            <v>--</v>
          </cell>
          <cell r="AU314" t="str">
            <v>--</v>
          </cell>
          <cell r="AV314" t="str">
            <v>--</v>
          </cell>
          <cell r="AW314" t="str">
            <v>--</v>
          </cell>
          <cell r="AX314" t="str">
            <v>--</v>
          </cell>
          <cell r="AY314" t="str">
            <v>--</v>
          </cell>
          <cell r="AZ314" t="str">
            <v>--</v>
          </cell>
          <cell r="BA314" t="str">
            <v>--</v>
          </cell>
          <cell r="BB314" t="str">
            <v>--</v>
          </cell>
          <cell r="BC314" t="str">
            <v>--</v>
          </cell>
          <cell r="BD314" t="str">
            <v>--</v>
          </cell>
          <cell r="BE314" t="str">
            <v>--</v>
          </cell>
          <cell r="BF314" t="str">
            <v>--</v>
          </cell>
          <cell r="BG314" t="str">
            <v>--</v>
          </cell>
          <cell r="BH314" t="str">
            <v>--</v>
          </cell>
          <cell r="BI314" t="str">
            <v>--</v>
          </cell>
          <cell r="BJ314" t="str">
            <v>--</v>
          </cell>
          <cell r="BK314" t="str">
            <v>--</v>
          </cell>
          <cell r="BL314" t="str">
            <v>--</v>
          </cell>
          <cell r="BM314" t="str">
            <v>--</v>
          </cell>
          <cell r="BN314">
            <v>40</v>
          </cell>
          <cell r="BO314">
            <v>50</v>
          </cell>
          <cell r="BP314">
            <v>41</v>
          </cell>
          <cell r="BQ314">
            <v>51</v>
          </cell>
          <cell r="BR314">
            <v>43</v>
          </cell>
          <cell r="BS314">
            <v>51</v>
          </cell>
          <cell r="BT314">
            <v>51</v>
          </cell>
          <cell r="BU314">
            <v>51</v>
          </cell>
          <cell r="BV314">
            <v>51</v>
          </cell>
          <cell r="BW314">
            <v>43</v>
          </cell>
          <cell r="BX314">
            <v>51</v>
          </cell>
          <cell r="BY314">
            <v>19</v>
          </cell>
          <cell r="BZ314">
            <v>29</v>
          </cell>
          <cell r="CA314">
            <v>53</v>
          </cell>
          <cell r="CB314">
            <v>51</v>
          </cell>
          <cell r="CC314">
            <v>51</v>
          </cell>
          <cell r="CD314">
            <v>51</v>
          </cell>
          <cell r="CE314">
            <v>51</v>
          </cell>
          <cell r="CF314">
            <v>28.6</v>
          </cell>
          <cell r="CG314">
            <v>25.7</v>
          </cell>
          <cell r="CH314">
            <v>33.299999999999997</v>
          </cell>
          <cell r="CI314">
            <v>30</v>
          </cell>
          <cell r="CJ314">
            <v>31.7</v>
          </cell>
          <cell r="CK314">
            <v>28.5</v>
          </cell>
          <cell r="CL314">
            <v>25.7</v>
          </cell>
          <cell r="CM314">
            <v>23.1</v>
          </cell>
          <cell r="CN314">
            <v>20.8</v>
          </cell>
          <cell r="CO314">
            <v>27</v>
          </cell>
          <cell r="CP314">
            <v>24.3</v>
          </cell>
          <cell r="CQ314">
            <v>47.7</v>
          </cell>
          <cell r="CR314">
            <v>42.9</v>
          </cell>
          <cell r="CS314">
            <v>30</v>
          </cell>
          <cell r="CT314">
            <v>27</v>
          </cell>
          <cell r="CU314">
            <v>24.3</v>
          </cell>
          <cell r="CV314">
            <v>21.9</v>
          </cell>
          <cell r="CW314">
            <v>19.7</v>
          </cell>
          <cell r="CX314">
            <v>38.6</v>
          </cell>
          <cell r="CY314">
            <v>34.700000000000003</v>
          </cell>
          <cell r="CZ314">
            <v>35.1</v>
          </cell>
          <cell r="DA314">
            <v>31.6</v>
          </cell>
          <cell r="DB314">
            <v>41</v>
          </cell>
          <cell r="DC314">
            <v>36.9</v>
          </cell>
          <cell r="DD314">
            <v>33.200000000000003</v>
          </cell>
          <cell r="DE314">
            <v>29.9</v>
          </cell>
          <cell r="DF314">
            <v>26.9</v>
          </cell>
          <cell r="DG314">
            <v>0.9</v>
          </cell>
          <cell r="DH314">
            <v>1</v>
          </cell>
          <cell r="DI314">
            <v>0</v>
          </cell>
          <cell r="DJ314">
            <v>1</v>
          </cell>
          <cell r="DK314">
            <v>1</v>
          </cell>
          <cell r="DL314">
            <v>1.1000000000000001</v>
          </cell>
          <cell r="DM314">
            <v>1.2</v>
          </cell>
          <cell r="DN314">
            <v>1.3</v>
          </cell>
          <cell r="DO314">
            <v>1.5</v>
          </cell>
          <cell r="DP314">
            <v>3.6</v>
          </cell>
          <cell r="DQ314">
            <v>4</v>
          </cell>
          <cell r="DR314">
            <v>0.9</v>
          </cell>
          <cell r="DS314">
            <v>1</v>
          </cell>
          <cell r="DT314">
            <v>7</v>
          </cell>
          <cell r="DU314">
            <v>7.7</v>
          </cell>
          <cell r="DV314">
            <v>8.5</v>
          </cell>
          <cell r="DW314">
            <v>9.3000000000000007</v>
          </cell>
          <cell r="DX314">
            <v>10.199999999999999</v>
          </cell>
          <cell r="DY314">
            <v>0</v>
          </cell>
          <cell r="DZ314">
            <v>1</v>
          </cell>
          <cell r="EA314">
            <v>0</v>
          </cell>
          <cell r="EB314">
            <v>1</v>
          </cell>
          <cell r="EC314">
            <v>0</v>
          </cell>
          <cell r="ED314">
            <v>1</v>
          </cell>
          <cell r="EE314">
            <v>1.1000000000000001</v>
          </cell>
          <cell r="EF314">
            <v>1.2</v>
          </cell>
          <cell r="EG314">
            <v>1.3</v>
          </cell>
        </row>
        <row r="315">
          <cell r="A315" t="str">
            <v>02810190Asian</v>
          </cell>
          <cell r="B315" t="str">
            <v>02810190A</v>
          </cell>
          <cell r="C315" t="str">
            <v>0281</v>
          </cell>
          <cell r="D315" t="str">
            <v>02810190</v>
          </cell>
          <cell r="E315" t="str">
            <v>Springfield</v>
          </cell>
          <cell r="F315" t="str">
            <v>White Street</v>
          </cell>
          <cell r="G315" t="str">
            <v>ES</v>
          </cell>
          <cell r="H315" t="str">
            <v>Springfield - White Street (02810190)</v>
          </cell>
          <cell r="I315" t="str">
            <v>Asian</v>
          </cell>
          <cell r="J315" t="str">
            <v>02810190Asian</v>
          </cell>
          <cell r="K315" t="str">
            <v>--</v>
          </cell>
          <cell r="L315" t="str">
            <v>--</v>
          </cell>
          <cell r="M315" t="str">
            <v>--</v>
          </cell>
          <cell r="N315" t="str">
            <v>--</v>
          </cell>
          <cell r="O315" t="str">
            <v>--</v>
          </cell>
          <cell r="P315" t="str">
            <v>--</v>
          </cell>
          <cell r="Q315" t="str">
            <v>--</v>
          </cell>
          <cell r="R315" t="str">
            <v>--</v>
          </cell>
          <cell r="S315" t="str">
            <v>--</v>
          </cell>
          <cell r="T315" t="str">
            <v>--</v>
          </cell>
          <cell r="U315" t="str">
            <v>--</v>
          </cell>
          <cell r="V315" t="str">
            <v>--</v>
          </cell>
          <cell r="W315" t="str">
            <v>--</v>
          </cell>
          <cell r="X315" t="str">
            <v>--</v>
          </cell>
          <cell r="Y315" t="str">
            <v>--</v>
          </cell>
          <cell r="Z315" t="str">
            <v>--</v>
          </cell>
          <cell r="AA315" t="str">
            <v>--</v>
          </cell>
          <cell r="AB315" t="str">
            <v>--</v>
          </cell>
          <cell r="AC315" t="str">
            <v>--</v>
          </cell>
          <cell r="AD315" t="str">
            <v>--</v>
          </cell>
          <cell r="AE315" t="str">
            <v>--</v>
          </cell>
          <cell r="AF315" t="str">
            <v>--</v>
          </cell>
          <cell r="AG315" t="str">
            <v>--</v>
          </cell>
          <cell r="AH315" t="str">
            <v>--</v>
          </cell>
          <cell r="AI315" t="str">
            <v>--</v>
          </cell>
          <cell r="AJ315" t="str">
            <v>--</v>
          </cell>
          <cell r="AK315" t="str">
            <v>--</v>
          </cell>
          <cell r="AL315" t="str">
            <v>--</v>
          </cell>
          <cell r="AM315" t="str">
            <v>--</v>
          </cell>
          <cell r="AN315" t="str">
            <v>--</v>
          </cell>
          <cell r="AO315" t="str">
            <v>--</v>
          </cell>
          <cell r="AP315" t="str">
            <v>--</v>
          </cell>
          <cell r="AQ315" t="str">
            <v>--</v>
          </cell>
          <cell r="AR315" t="str">
            <v>--</v>
          </cell>
          <cell r="AS315" t="str">
            <v>--</v>
          </cell>
          <cell r="AT315" t="str">
            <v>--</v>
          </cell>
          <cell r="AU315" t="str">
            <v>--</v>
          </cell>
          <cell r="AV315" t="str">
            <v>--</v>
          </cell>
          <cell r="AW315" t="str">
            <v>--</v>
          </cell>
          <cell r="AX315" t="str">
            <v>--</v>
          </cell>
          <cell r="AY315" t="str">
            <v>--</v>
          </cell>
          <cell r="AZ315" t="str">
            <v>--</v>
          </cell>
          <cell r="BA315" t="str">
            <v>--</v>
          </cell>
          <cell r="BB315" t="str">
            <v>--</v>
          </cell>
          <cell r="BC315" t="str">
            <v>--</v>
          </cell>
          <cell r="BD315" t="str">
            <v>--</v>
          </cell>
          <cell r="BE315" t="str">
            <v>--</v>
          </cell>
          <cell r="BF315" t="str">
            <v>--</v>
          </cell>
          <cell r="BG315" t="str">
            <v>--</v>
          </cell>
          <cell r="BH315" t="str">
            <v>--</v>
          </cell>
          <cell r="BI315" t="str">
            <v>--</v>
          </cell>
          <cell r="BJ315" t="str">
            <v>--</v>
          </cell>
          <cell r="BK315" t="str">
            <v>--</v>
          </cell>
          <cell r="BL315" t="str">
            <v>--</v>
          </cell>
          <cell r="BM315" t="str">
            <v>--</v>
          </cell>
          <cell r="BN315" t="str">
            <v>--</v>
          </cell>
          <cell r="BO315" t="str">
            <v>--</v>
          </cell>
          <cell r="BP315" t="str">
            <v>--</v>
          </cell>
          <cell r="BQ315" t="str">
            <v>--</v>
          </cell>
          <cell r="BR315" t="str">
            <v>--</v>
          </cell>
          <cell r="BS315" t="str">
            <v>--</v>
          </cell>
          <cell r="BT315" t="str">
            <v>--</v>
          </cell>
          <cell r="BU315" t="str">
            <v>--</v>
          </cell>
          <cell r="BV315" t="str">
            <v>--</v>
          </cell>
          <cell r="BW315" t="str">
            <v>--</v>
          </cell>
          <cell r="BX315" t="str">
            <v>--</v>
          </cell>
          <cell r="BY315" t="str">
            <v>--</v>
          </cell>
          <cell r="BZ315" t="str">
            <v>--</v>
          </cell>
          <cell r="CA315" t="str">
            <v>--</v>
          </cell>
          <cell r="CB315" t="str">
            <v>--</v>
          </cell>
          <cell r="CC315" t="str">
            <v>--</v>
          </cell>
          <cell r="CD315" t="str">
            <v>--</v>
          </cell>
          <cell r="CE315" t="str">
            <v>--</v>
          </cell>
          <cell r="CF315" t="str">
            <v>--</v>
          </cell>
          <cell r="CG315" t="str">
            <v>--</v>
          </cell>
          <cell r="CH315" t="str">
            <v>--</v>
          </cell>
          <cell r="CI315" t="str">
            <v>--</v>
          </cell>
          <cell r="CJ315" t="str">
            <v>--</v>
          </cell>
          <cell r="CK315" t="str">
            <v>--</v>
          </cell>
          <cell r="CL315" t="str">
            <v>--</v>
          </cell>
          <cell r="CM315" t="str">
            <v>--</v>
          </cell>
          <cell r="CN315" t="str">
            <v>--</v>
          </cell>
          <cell r="CO315" t="str">
            <v>--</v>
          </cell>
          <cell r="CP315" t="str">
            <v>--</v>
          </cell>
          <cell r="CQ315" t="str">
            <v>--</v>
          </cell>
          <cell r="CR315" t="str">
            <v>--</v>
          </cell>
          <cell r="CS315" t="str">
            <v>--</v>
          </cell>
          <cell r="CT315" t="str">
            <v>--</v>
          </cell>
          <cell r="CU315" t="str">
            <v>--</v>
          </cell>
          <cell r="CV315" t="str">
            <v>--</v>
          </cell>
          <cell r="CW315" t="str">
            <v>--</v>
          </cell>
          <cell r="CX315" t="str">
            <v>--</v>
          </cell>
          <cell r="CY315" t="str">
            <v>--</v>
          </cell>
          <cell r="CZ315" t="str">
            <v>--</v>
          </cell>
          <cell r="DA315" t="str">
            <v>--</v>
          </cell>
          <cell r="DB315" t="str">
            <v>--</v>
          </cell>
          <cell r="DC315" t="str">
            <v>--</v>
          </cell>
          <cell r="DD315" t="str">
            <v>--</v>
          </cell>
          <cell r="DE315" t="str">
            <v>--</v>
          </cell>
          <cell r="DF315" t="str">
            <v>--</v>
          </cell>
          <cell r="DG315" t="str">
            <v>--</v>
          </cell>
          <cell r="DH315" t="str">
            <v>--</v>
          </cell>
          <cell r="DI315" t="str">
            <v>--</v>
          </cell>
          <cell r="DJ315" t="str">
            <v>--</v>
          </cell>
          <cell r="DK315" t="str">
            <v>--</v>
          </cell>
          <cell r="DL315" t="str">
            <v>--</v>
          </cell>
          <cell r="DM315" t="str">
            <v>--</v>
          </cell>
          <cell r="DN315" t="str">
            <v>--</v>
          </cell>
          <cell r="DO315" t="str">
            <v>--</v>
          </cell>
          <cell r="DP315" t="str">
            <v>--</v>
          </cell>
          <cell r="DQ315" t="str">
            <v>--</v>
          </cell>
          <cell r="DR315" t="str">
            <v>--</v>
          </cell>
          <cell r="DS315" t="str">
            <v>--</v>
          </cell>
          <cell r="DT315" t="str">
            <v>--</v>
          </cell>
          <cell r="DU315" t="str">
            <v>--</v>
          </cell>
          <cell r="DV315" t="str">
            <v>--</v>
          </cell>
          <cell r="DW315" t="str">
            <v>--</v>
          </cell>
          <cell r="DX315" t="str">
            <v>--</v>
          </cell>
          <cell r="DY315" t="str">
            <v>--</v>
          </cell>
          <cell r="DZ315" t="str">
            <v>--</v>
          </cell>
          <cell r="EA315" t="str">
            <v>--</v>
          </cell>
          <cell r="EB315" t="str">
            <v>--</v>
          </cell>
          <cell r="EC315" t="str">
            <v>--</v>
          </cell>
          <cell r="ED315" t="str">
            <v>--</v>
          </cell>
          <cell r="EE315" t="str">
            <v>--</v>
          </cell>
          <cell r="EF315" t="str">
            <v>--</v>
          </cell>
          <cell r="EG315" t="str">
            <v>--</v>
          </cell>
        </row>
        <row r="316">
          <cell r="A316" t="str">
            <v>02810190Afr. Amer/Black</v>
          </cell>
          <cell r="B316" t="str">
            <v>02810190B</v>
          </cell>
          <cell r="C316" t="str">
            <v>0281</v>
          </cell>
          <cell r="D316" t="str">
            <v>02810190</v>
          </cell>
          <cell r="E316" t="str">
            <v>Springfield</v>
          </cell>
          <cell r="F316" t="str">
            <v>White Street</v>
          </cell>
          <cell r="G316" t="str">
            <v>ES</v>
          </cell>
          <cell r="H316" t="str">
            <v>Springfield - White Street (02810190)</v>
          </cell>
          <cell r="I316" t="str">
            <v>Afr. Amer/Black</v>
          </cell>
          <cell r="J316" t="str">
            <v>02810190Afr. Amer/Black</v>
          </cell>
          <cell r="K316" t="str">
            <v>--</v>
          </cell>
          <cell r="L316">
            <v>55</v>
          </cell>
          <cell r="M316">
            <v>58.8</v>
          </cell>
          <cell r="N316">
            <v>58.6</v>
          </cell>
          <cell r="O316">
            <v>62.5</v>
          </cell>
          <cell r="P316">
            <v>54.6</v>
          </cell>
          <cell r="Q316">
            <v>66.3</v>
          </cell>
          <cell r="R316">
            <v>70</v>
          </cell>
          <cell r="S316">
            <v>73.8</v>
          </cell>
          <cell r="T316">
            <v>77.5</v>
          </cell>
          <cell r="U316">
            <v>64</v>
          </cell>
          <cell r="V316">
            <v>67</v>
          </cell>
          <cell r="W316">
            <v>54.3</v>
          </cell>
          <cell r="X316">
            <v>70</v>
          </cell>
          <cell r="Y316">
            <v>58.3</v>
          </cell>
          <cell r="Z316">
            <v>73</v>
          </cell>
          <cell r="AA316">
            <v>76</v>
          </cell>
          <cell r="AB316">
            <v>79</v>
          </cell>
          <cell r="AC316">
            <v>82</v>
          </cell>
          <cell r="AD316" t="str">
            <v>--</v>
          </cell>
          <cell r="AE316" t="str">
            <v>--</v>
          </cell>
          <cell r="AF316" t="str">
            <v>--</v>
          </cell>
          <cell r="AG316" t="str">
            <v>--</v>
          </cell>
          <cell r="AH316" t="str">
            <v>--</v>
          </cell>
          <cell r="AI316" t="str">
            <v>--</v>
          </cell>
          <cell r="AJ316" t="str">
            <v>--</v>
          </cell>
          <cell r="AK316" t="str">
            <v>--</v>
          </cell>
          <cell r="AL316" t="str">
            <v>--</v>
          </cell>
          <cell r="AM316" t="str">
            <v>--</v>
          </cell>
          <cell r="AN316" t="str">
            <v>--</v>
          </cell>
          <cell r="AO316" t="str">
            <v>--</v>
          </cell>
          <cell r="AP316" t="str">
            <v>--</v>
          </cell>
          <cell r="AQ316" t="str">
            <v>--</v>
          </cell>
          <cell r="AR316" t="str">
            <v>--</v>
          </cell>
          <cell r="AS316" t="str">
            <v>--</v>
          </cell>
          <cell r="AT316" t="str">
            <v>--</v>
          </cell>
          <cell r="AU316" t="str">
            <v>--</v>
          </cell>
          <cell r="AV316" t="str">
            <v>--</v>
          </cell>
          <cell r="AW316" t="str">
            <v>--</v>
          </cell>
          <cell r="AX316" t="str">
            <v>--</v>
          </cell>
          <cell r="AY316" t="str">
            <v>--</v>
          </cell>
          <cell r="AZ316" t="str">
            <v>--</v>
          </cell>
          <cell r="BA316" t="str">
            <v>--</v>
          </cell>
          <cell r="BB316" t="str">
            <v>--</v>
          </cell>
          <cell r="BC316" t="str">
            <v>--</v>
          </cell>
          <cell r="BD316" t="str">
            <v>--</v>
          </cell>
          <cell r="BE316" t="str">
            <v>--</v>
          </cell>
          <cell r="BF316" t="str">
            <v>--</v>
          </cell>
          <cell r="BG316" t="str">
            <v>--</v>
          </cell>
          <cell r="BH316" t="str">
            <v>--</v>
          </cell>
          <cell r="BI316" t="str">
            <v>--</v>
          </cell>
          <cell r="BJ316" t="str">
            <v>--</v>
          </cell>
          <cell r="BK316" t="str">
            <v>--</v>
          </cell>
          <cell r="BL316" t="str">
            <v>--</v>
          </cell>
          <cell r="BM316" t="str">
            <v>--</v>
          </cell>
          <cell r="BN316" t="str">
            <v>--</v>
          </cell>
          <cell r="BO316" t="str">
            <v>--</v>
          </cell>
          <cell r="BP316" t="str">
            <v>--</v>
          </cell>
          <cell r="BQ316" t="str">
            <v>--</v>
          </cell>
          <cell r="BR316" t="str">
            <v>--</v>
          </cell>
          <cell r="BS316" t="str">
            <v>--</v>
          </cell>
          <cell r="BT316" t="str">
            <v>--</v>
          </cell>
          <cell r="BU316" t="str">
            <v>--</v>
          </cell>
          <cell r="BV316" t="str">
            <v>--</v>
          </cell>
          <cell r="BW316" t="str">
            <v>--</v>
          </cell>
          <cell r="BX316" t="str">
            <v>--</v>
          </cell>
          <cell r="BY316" t="str">
            <v>--</v>
          </cell>
          <cell r="BZ316" t="str">
            <v>--</v>
          </cell>
          <cell r="CA316" t="str">
            <v>--</v>
          </cell>
          <cell r="CB316" t="str">
            <v>--</v>
          </cell>
          <cell r="CC316" t="str">
            <v>--</v>
          </cell>
          <cell r="CD316" t="str">
            <v>--</v>
          </cell>
          <cell r="CE316" t="str">
            <v>--</v>
          </cell>
          <cell r="CF316">
            <v>44</v>
          </cell>
          <cell r="CG316">
            <v>39.6</v>
          </cell>
          <cell r="CH316">
            <v>31</v>
          </cell>
          <cell r="CI316">
            <v>27.9</v>
          </cell>
          <cell r="CJ316">
            <v>40.700000000000003</v>
          </cell>
          <cell r="CK316">
            <v>36.6</v>
          </cell>
          <cell r="CL316">
            <v>33</v>
          </cell>
          <cell r="CM316">
            <v>29.7</v>
          </cell>
          <cell r="CN316">
            <v>26.7</v>
          </cell>
          <cell r="CO316">
            <v>20</v>
          </cell>
          <cell r="CP316">
            <v>18</v>
          </cell>
          <cell r="CQ316">
            <v>41.4</v>
          </cell>
          <cell r="CR316">
            <v>37.299999999999997</v>
          </cell>
          <cell r="CS316">
            <v>37</v>
          </cell>
          <cell r="CT316">
            <v>33.299999999999997</v>
          </cell>
          <cell r="CU316">
            <v>30</v>
          </cell>
          <cell r="CV316">
            <v>27</v>
          </cell>
          <cell r="CW316">
            <v>24.3</v>
          </cell>
          <cell r="CX316" t="str">
            <v>--</v>
          </cell>
          <cell r="CY316" t="str">
            <v>--</v>
          </cell>
          <cell r="CZ316" t="str">
            <v>--</v>
          </cell>
          <cell r="DA316" t="str">
            <v>--</v>
          </cell>
          <cell r="DB316" t="str">
            <v>--</v>
          </cell>
          <cell r="DC316" t="str">
            <v>--</v>
          </cell>
          <cell r="DD316" t="str">
            <v>--</v>
          </cell>
          <cell r="DE316" t="str">
            <v>--</v>
          </cell>
          <cell r="DF316" t="str">
            <v>--</v>
          </cell>
          <cell r="DG316">
            <v>0</v>
          </cell>
          <cell r="DH316">
            <v>1</v>
          </cell>
          <cell r="DI316">
            <v>0</v>
          </cell>
          <cell r="DJ316">
            <v>1</v>
          </cell>
          <cell r="DK316">
            <v>3.7</v>
          </cell>
          <cell r="DL316">
            <v>4.0999999999999996</v>
          </cell>
          <cell r="DM316">
            <v>4.5</v>
          </cell>
          <cell r="DN316">
            <v>4.9000000000000004</v>
          </cell>
          <cell r="DO316">
            <v>5.4</v>
          </cell>
          <cell r="DP316">
            <v>0</v>
          </cell>
          <cell r="DQ316">
            <v>1</v>
          </cell>
          <cell r="DR316">
            <v>10.3</v>
          </cell>
          <cell r="DS316">
            <v>11.3</v>
          </cell>
          <cell r="DT316">
            <v>7.4</v>
          </cell>
          <cell r="DU316">
            <v>8.1</v>
          </cell>
          <cell r="DV316">
            <v>9</v>
          </cell>
          <cell r="DW316">
            <v>9.8000000000000007</v>
          </cell>
          <cell r="DX316">
            <v>10.8</v>
          </cell>
          <cell r="DY316" t="str">
            <v>--</v>
          </cell>
          <cell r="DZ316" t="str">
            <v>--</v>
          </cell>
          <cell r="EA316" t="str">
            <v>--</v>
          </cell>
          <cell r="EB316" t="str">
            <v>--</v>
          </cell>
          <cell r="EC316" t="str">
            <v>--</v>
          </cell>
          <cell r="ED316" t="str">
            <v>--</v>
          </cell>
          <cell r="EE316" t="str">
            <v>--</v>
          </cell>
          <cell r="EF316" t="str">
            <v>--</v>
          </cell>
          <cell r="EG316" t="str">
            <v>--</v>
          </cell>
        </row>
        <row r="317">
          <cell r="A317" t="str">
            <v>02810190White</v>
          </cell>
          <cell r="B317" t="str">
            <v>02810190C</v>
          </cell>
          <cell r="C317" t="str">
            <v>0281</v>
          </cell>
          <cell r="D317" t="str">
            <v>02810190</v>
          </cell>
          <cell r="E317" t="str">
            <v>Springfield</v>
          </cell>
          <cell r="F317" t="str">
            <v>White Street</v>
          </cell>
          <cell r="G317" t="str">
            <v>ES</v>
          </cell>
          <cell r="H317" t="str">
            <v>Springfield - White Street (02810190)</v>
          </cell>
          <cell r="I317" t="str">
            <v>White</v>
          </cell>
          <cell r="J317" t="str">
            <v>02810190White</v>
          </cell>
          <cell r="K317" t="str">
            <v>--</v>
          </cell>
          <cell r="L317" t="str">
            <v>--</v>
          </cell>
          <cell r="M317" t="str">
            <v>--</v>
          </cell>
          <cell r="N317" t="str">
            <v>--</v>
          </cell>
          <cell r="O317" t="str">
            <v>--</v>
          </cell>
          <cell r="P317" t="str">
            <v>--</v>
          </cell>
          <cell r="Q317" t="str">
            <v>--</v>
          </cell>
          <cell r="R317" t="str">
            <v>--</v>
          </cell>
          <cell r="S317" t="str">
            <v>--</v>
          </cell>
          <cell r="T317" t="str">
            <v>--</v>
          </cell>
          <cell r="U317" t="str">
            <v>--</v>
          </cell>
          <cell r="V317" t="str">
            <v>--</v>
          </cell>
          <cell r="W317" t="str">
            <v>--</v>
          </cell>
          <cell r="X317" t="str">
            <v>--</v>
          </cell>
          <cell r="Y317" t="str">
            <v>--</v>
          </cell>
          <cell r="Z317" t="str">
            <v>--</v>
          </cell>
          <cell r="AA317" t="str">
            <v>--</v>
          </cell>
          <cell r="AB317" t="str">
            <v>--</v>
          </cell>
          <cell r="AC317" t="str">
            <v>--</v>
          </cell>
          <cell r="AD317" t="str">
            <v>--</v>
          </cell>
          <cell r="AE317" t="str">
            <v>--</v>
          </cell>
          <cell r="AF317" t="str">
            <v>--</v>
          </cell>
          <cell r="AG317" t="str">
            <v>--</v>
          </cell>
          <cell r="AH317" t="str">
            <v>--</v>
          </cell>
          <cell r="AI317" t="str">
            <v>--</v>
          </cell>
          <cell r="AJ317" t="str">
            <v>--</v>
          </cell>
          <cell r="AK317" t="str">
            <v>--</v>
          </cell>
          <cell r="AL317" t="str">
            <v>--</v>
          </cell>
          <cell r="AM317" t="str">
            <v>--</v>
          </cell>
          <cell r="AN317" t="str">
            <v>--</v>
          </cell>
          <cell r="AO317" t="str">
            <v>--</v>
          </cell>
          <cell r="AP317" t="str">
            <v>--</v>
          </cell>
          <cell r="AQ317" t="str">
            <v>--</v>
          </cell>
          <cell r="AR317" t="str">
            <v>--</v>
          </cell>
          <cell r="AS317" t="str">
            <v>--</v>
          </cell>
          <cell r="AT317" t="str">
            <v>--</v>
          </cell>
          <cell r="AU317" t="str">
            <v>--</v>
          </cell>
          <cell r="AV317" t="str">
            <v>--</v>
          </cell>
          <cell r="AW317" t="str">
            <v>--</v>
          </cell>
          <cell r="AX317" t="str">
            <v>--</v>
          </cell>
          <cell r="AY317" t="str">
            <v>--</v>
          </cell>
          <cell r="AZ317" t="str">
            <v>--</v>
          </cell>
          <cell r="BA317" t="str">
            <v>--</v>
          </cell>
          <cell r="BB317" t="str">
            <v>--</v>
          </cell>
          <cell r="BC317" t="str">
            <v>--</v>
          </cell>
          <cell r="BD317" t="str">
            <v>--</v>
          </cell>
          <cell r="BE317" t="str">
            <v>--</v>
          </cell>
          <cell r="BF317" t="str">
            <v>--</v>
          </cell>
          <cell r="BG317" t="str">
            <v>--</v>
          </cell>
          <cell r="BH317" t="str">
            <v>--</v>
          </cell>
          <cell r="BI317" t="str">
            <v>--</v>
          </cell>
          <cell r="BJ317" t="str">
            <v>--</v>
          </cell>
          <cell r="BK317" t="str">
            <v>--</v>
          </cell>
          <cell r="BL317" t="str">
            <v>--</v>
          </cell>
          <cell r="BM317" t="str">
            <v>--</v>
          </cell>
          <cell r="BN317" t="str">
            <v>--</v>
          </cell>
          <cell r="BO317" t="str">
            <v>--</v>
          </cell>
          <cell r="BP317" t="str">
            <v>--</v>
          </cell>
          <cell r="BQ317" t="str">
            <v>--</v>
          </cell>
          <cell r="BR317" t="str">
            <v>--</v>
          </cell>
          <cell r="BS317" t="str">
            <v>--</v>
          </cell>
          <cell r="BT317" t="str">
            <v>--</v>
          </cell>
          <cell r="BU317" t="str">
            <v>--</v>
          </cell>
          <cell r="BV317" t="str">
            <v>--</v>
          </cell>
          <cell r="BW317" t="str">
            <v>--</v>
          </cell>
          <cell r="BX317" t="str">
            <v>--</v>
          </cell>
          <cell r="BY317" t="str">
            <v>--</v>
          </cell>
          <cell r="BZ317" t="str">
            <v>--</v>
          </cell>
          <cell r="CA317" t="str">
            <v>--</v>
          </cell>
          <cell r="CB317" t="str">
            <v>--</v>
          </cell>
          <cell r="CC317" t="str">
            <v>--</v>
          </cell>
          <cell r="CD317" t="str">
            <v>--</v>
          </cell>
          <cell r="CE317" t="str">
            <v>--</v>
          </cell>
          <cell r="CF317" t="str">
            <v>--</v>
          </cell>
          <cell r="CG317" t="str">
            <v>--</v>
          </cell>
          <cell r="CH317" t="str">
            <v>--</v>
          </cell>
          <cell r="CI317" t="str">
            <v>--</v>
          </cell>
          <cell r="CJ317" t="str">
            <v>--</v>
          </cell>
          <cell r="CK317" t="str">
            <v>--</v>
          </cell>
          <cell r="CL317" t="str">
            <v>--</v>
          </cell>
          <cell r="CM317" t="str">
            <v>--</v>
          </cell>
          <cell r="CN317" t="str">
            <v>--</v>
          </cell>
          <cell r="CO317" t="str">
            <v>--</v>
          </cell>
          <cell r="CP317" t="str">
            <v>--</v>
          </cell>
          <cell r="CQ317" t="str">
            <v>--</v>
          </cell>
          <cell r="CR317" t="str">
            <v>--</v>
          </cell>
          <cell r="CS317" t="str">
            <v>--</v>
          </cell>
          <cell r="CT317" t="str">
            <v>--</v>
          </cell>
          <cell r="CU317" t="str">
            <v>--</v>
          </cell>
          <cell r="CV317" t="str">
            <v>--</v>
          </cell>
          <cell r="CW317" t="str">
            <v>--</v>
          </cell>
          <cell r="CX317" t="str">
            <v>--</v>
          </cell>
          <cell r="CY317" t="str">
            <v>--</v>
          </cell>
          <cell r="CZ317" t="str">
            <v>--</v>
          </cell>
          <cell r="DA317" t="str">
            <v>--</v>
          </cell>
          <cell r="DB317" t="str">
            <v>--</v>
          </cell>
          <cell r="DC317" t="str">
            <v>--</v>
          </cell>
          <cell r="DD317" t="str">
            <v>--</v>
          </cell>
          <cell r="DE317" t="str">
            <v>--</v>
          </cell>
          <cell r="DF317" t="str">
            <v>--</v>
          </cell>
          <cell r="DG317" t="str">
            <v>--</v>
          </cell>
          <cell r="DH317" t="str">
            <v>--</v>
          </cell>
          <cell r="DI317" t="str">
            <v>--</v>
          </cell>
          <cell r="DJ317" t="str">
            <v>--</v>
          </cell>
          <cell r="DK317" t="str">
            <v>--</v>
          </cell>
          <cell r="DL317" t="str">
            <v>--</v>
          </cell>
          <cell r="DM317" t="str">
            <v>--</v>
          </cell>
          <cell r="DN317" t="str">
            <v>--</v>
          </cell>
          <cell r="DO317" t="str">
            <v>--</v>
          </cell>
          <cell r="DP317" t="str">
            <v>--</v>
          </cell>
          <cell r="DQ317" t="str">
            <v>--</v>
          </cell>
          <cell r="DR317" t="str">
            <v>--</v>
          </cell>
          <cell r="DS317" t="str">
            <v>--</v>
          </cell>
          <cell r="DT317" t="str">
            <v>--</v>
          </cell>
          <cell r="DU317" t="str">
            <v>--</v>
          </cell>
          <cell r="DV317" t="str">
            <v>--</v>
          </cell>
          <cell r="DW317" t="str">
            <v>--</v>
          </cell>
          <cell r="DX317" t="str">
            <v>--</v>
          </cell>
          <cell r="DY317" t="str">
            <v>--</v>
          </cell>
          <cell r="DZ317" t="str">
            <v>--</v>
          </cell>
          <cell r="EA317" t="str">
            <v>--</v>
          </cell>
          <cell r="EB317" t="str">
            <v>--</v>
          </cell>
          <cell r="EC317" t="str">
            <v>--</v>
          </cell>
          <cell r="ED317" t="str">
            <v>--</v>
          </cell>
          <cell r="EE317" t="str">
            <v>--</v>
          </cell>
          <cell r="EF317" t="str">
            <v>--</v>
          </cell>
          <cell r="EG317" t="str">
            <v>--</v>
          </cell>
        </row>
        <row r="318">
          <cell r="A318" t="str">
            <v>02810190Students w/disabilities</v>
          </cell>
          <cell r="B318" t="str">
            <v>02810190D</v>
          </cell>
          <cell r="C318" t="str">
            <v>0281</v>
          </cell>
          <cell r="D318" t="str">
            <v>02810190</v>
          </cell>
          <cell r="E318" t="str">
            <v>Springfield</v>
          </cell>
          <cell r="F318" t="str">
            <v>White Street</v>
          </cell>
          <cell r="G318" t="str">
            <v>ES</v>
          </cell>
          <cell r="H318" t="str">
            <v>Springfield - White Street (02810190)</v>
          </cell>
          <cell r="I318" t="str">
            <v>Students w/disabilities</v>
          </cell>
          <cell r="J318" t="str">
            <v>02810190Students w/disabilities</v>
          </cell>
          <cell r="K318" t="str">
            <v>--</v>
          </cell>
          <cell r="L318">
            <v>32.6</v>
          </cell>
          <cell r="M318">
            <v>38.200000000000003</v>
          </cell>
          <cell r="N318">
            <v>38.799999999999997</v>
          </cell>
          <cell r="O318">
            <v>43.8</v>
          </cell>
          <cell r="P318">
            <v>28.4</v>
          </cell>
          <cell r="Q318">
            <v>49.5</v>
          </cell>
          <cell r="R318">
            <v>55.1</v>
          </cell>
          <cell r="S318">
            <v>60.7</v>
          </cell>
          <cell r="T318">
            <v>66.3</v>
          </cell>
          <cell r="U318">
            <v>37</v>
          </cell>
          <cell r="V318">
            <v>42.3</v>
          </cell>
          <cell r="W318">
            <v>38.799999999999997</v>
          </cell>
          <cell r="X318">
            <v>47.5</v>
          </cell>
          <cell r="Y318">
            <v>39.799999999999997</v>
          </cell>
          <cell r="Z318">
            <v>52.8</v>
          </cell>
          <cell r="AA318">
            <v>58</v>
          </cell>
          <cell r="AB318">
            <v>63.3</v>
          </cell>
          <cell r="AC318">
            <v>68.5</v>
          </cell>
          <cell r="AD318" t="str">
            <v>--</v>
          </cell>
          <cell r="AE318" t="str">
            <v>--</v>
          </cell>
          <cell r="AF318" t="str">
            <v>--</v>
          </cell>
          <cell r="AG318" t="str">
            <v>--</v>
          </cell>
          <cell r="AH318" t="str">
            <v>--</v>
          </cell>
          <cell r="AI318" t="str">
            <v>--</v>
          </cell>
          <cell r="AJ318" t="str">
            <v>--</v>
          </cell>
          <cell r="AK318" t="str">
            <v>--</v>
          </cell>
          <cell r="AL318" t="str">
            <v>--</v>
          </cell>
          <cell r="AM318" t="str">
            <v>--</v>
          </cell>
          <cell r="AN318" t="str">
            <v>--</v>
          </cell>
          <cell r="AO318" t="str">
            <v>--</v>
          </cell>
          <cell r="AP318" t="str">
            <v>--</v>
          </cell>
          <cell r="AQ318" t="str">
            <v>--</v>
          </cell>
          <cell r="AR318" t="str">
            <v>--</v>
          </cell>
          <cell r="AS318" t="str">
            <v>--</v>
          </cell>
          <cell r="AT318" t="str">
            <v>--</v>
          </cell>
          <cell r="AU318" t="str">
            <v>--</v>
          </cell>
          <cell r="AV318" t="str">
            <v>--</v>
          </cell>
          <cell r="AW318" t="str">
            <v>--</v>
          </cell>
          <cell r="AX318" t="str">
            <v>--</v>
          </cell>
          <cell r="AY318" t="str">
            <v>--</v>
          </cell>
          <cell r="AZ318" t="str">
            <v>--</v>
          </cell>
          <cell r="BA318" t="str">
            <v>--</v>
          </cell>
          <cell r="BB318" t="str">
            <v>--</v>
          </cell>
          <cell r="BC318" t="str">
            <v>--</v>
          </cell>
          <cell r="BD318" t="str">
            <v>--</v>
          </cell>
          <cell r="BE318" t="str">
            <v>--</v>
          </cell>
          <cell r="BF318" t="str">
            <v>--</v>
          </cell>
          <cell r="BG318" t="str">
            <v>--</v>
          </cell>
          <cell r="BH318" t="str">
            <v>--</v>
          </cell>
          <cell r="BI318" t="str">
            <v>--</v>
          </cell>
          <cell r="BJ318" t="str">
            <v>--</v>
          </cell>
          <cell r="BK318" t="str">
            <v>--</v>
          </cell>
          <cell r="BL318" t="str">
            <v>--</v>
          </cell>
          <cell r="BM318" t="str">
            <v>--</v>
          </cell>
          <cell r="BN318" t="str">
            <v>--</v>
          </cell>
          <cell r="BO318" t="str">
            <v>--</v>
          </cell>
          <cell r="BP318" t="str">
            <v>--</v>
          </cell>
          <cell r="BQ318" t="str">
            <v>--</v>
          </cell>
          <cell r="BR318" t="str">
            <v>--</v>
          </cell>
          <cell r="BS318" t="str">
            <v>--</v>
          </cell>
          <cell r="BT318" t="str">
            <v>--</v>
          </cell>
          <cell r="BU318" t="str">
            <v>--</v>
          </cell>
          <cell r="BV318" t="str">
            <v>--</v>
          </cell>
          <cell r="BW318" t="str">
            <v>--</v>
          </cell>
          <cell r="BX318" t="str">
            <v>--</v>
          </cell>
          <cell r="BY318" t="str">
            <v>--</v>
          </cell>
          <cell r="BZ318" t="str">
            <v>--</v>
          </cell>
          <cell r="CA318" t="str">
            <v>--</v>
          </cell>
          <cell r="CB318" t="str">
            <v>--</v>
          </cell>
          <cell r="CC318" t="str">
            <v>--</v>
          </cell>
          <cell r="CD318" t="str">
            <v>--</v>
          </cell>
          <cell r="CE318" t="str">
            <v>--</v>
          </cell>
          <cell r="CF318">
            <v>66.7</v>
          </cell>
          <cell r="CG318">
            <v>66.5</v>
          </cell>
          <cell r="CH318">
            <v>58.6</v>
          </cell>
          <cell r="CI318">
            <v>52.7</v>
          </cell>
          <cell r="CJ318">
            <v>81.8</v>
          </cell>
          <cell r="CK318">
            <v>73.599999999999994</v>
          </cell>
          <cell r="CL318">
            <v>66.3</v>
          </cell>
          <cell r="CM318">
            <v>59.6</v>
          </cell>
          <cell r="CN318">
            <v>53.7</v>
          </cell>
          <cell r="CO318">
            <v>53.3</v>
          </cell>
          <cell r="CP318">
            <v>62.6</v>
          </cell>
          <cell r="CQ318">
            <v>62.1</v>
          </cell>
          <cell r="CR318">
            <v>55.9</v>
          </cell>
          <cell r="CS318">
            <v>63.6</v>
          </cell>
          <cell r="CT318">
            <v>57.2</v>
          </cell>
          <cell r="CU318">
            <v>51.5</v>
          </cell>
          <cell r="CV318">
            <v>46.4</v>
          </cell>
          <cell r="CW318">
            <v>41.7</v>
          </cell>
          <cell r="CX318" t="str">
            <v>--</v>
          </cell>
          <cell r="CY318" t="str">
            <v>--</v>
          </cell>
          <cell r="CZ318" t="str">
            <v>--</v>
          </cell>
          <cell r="DA318" t="str">
            <v>--</v>
          </cell>
          <cell r="DB318" t="str">
            <v>--</v>
          </cell>
          <cell r="DC318" t="str">
            <v>--</v>
          </cell>
          <cell r="DD318" t="str">
            <v>--</v>
          </cell>
          <cell r="DE318" t="str">
            <v>--</v>
          </cell>
          <cell r="DF318" t="str">
            <v>--</v>
          </cell>
          <cell r="DG318">
            <v>0</v>
          </cell>
          <cell r="DH318">
            <v>1</v>
          </cell>
          <cell r="DI318">
            <v>0</v>
          </cell>
          <cell r="DJ318">
            <v>1</v>
          </cell>
          <cell r="DK318">
            <v>0</v>
          </cell>
          <cell r="DL318">
            <v>1</v>
          </cell>
          <cell r="DM318">
            <v>1.1000000000000001</v>
          </cell>
          <cell r="DN318">
            <v>1.2</v>
          </cell>
          <cell r="DO318">
            <v>1.3</v>
          </cell>
          <cell r="DP318">
            <v>0</v>
          </cell>
          <cell r="DQ318">
            <v>1</v>
          </cell>
          <cell r="DR318">
            <v>0</v>
          </cell>
          <cell r="DS318">
            <v>1</v>
          </cell>
          <cell r="DT318">
            <v>4.5</v>
          </cell>
          <cell r="DU318">
            <v>5</v>
          </cell>
          <cell r="DV318">
            <v>5.4</v>
          </cell>
          <cell r="DW318">
            <v>6</v>
          </cell>
          <cell r="DX318">
            <v>6.6</v>
          </cell>
          <cell r="DY318" t="str">
            <v>--</v>
          </cell>
          <cell r="DZ318" t="str">
            <v>--</v>
          </cell>
          <cell r="EA318" t="str">
            <v>--</v>
          </cell>
          <cell r="EB318" t="str">
            <v>--</v>
          </cell>
          <cell r="EC318" t="str">
            <v>--</v>
          </cell>
          <cell r="ED318" t="str">
            <v>--</v>
          </cell>
          <cell r="EE318" t="str">
            <v>--</v>
          </cell>
          <cell r="EF318" t="str">
            <v>--</v>
          </cell>
          <cell r="EG318" t="str">
            <v>--</v>
          </cell>
        </row>
        <row r="319">
          <cell r="A319" t="str">
            <v>02810190Low income</v>
          </cell>
          <cell r="B319" t="str">
            <v>02810190F</v>
          </cell>
          <cell r="C319" t="str">
            <v>0281</v>
          </cell>
          <cell r="D319" t="str">
            <v>02810190</v>
          </cell>
          <cell r="E319" t="str">
            <v>Springfield</v>
          </cell>
          <cell r="F319" t="str">
            <v>White Street</v>
          </cell>
          <cell r="G319" t="str">
            <v>ES</v>
          </cell>
          <cell r="H319" t="str">
            <v>Springfield - White Street (02810190)</v>
          </cell>
          <cell r="I319" t="str">
            <v>Low income</v>
          </cell>
          <cell r="J319" t="str">
            <v>02810190Low income</v>
          </cell>
          <cell r="K319" t="str">
            <v>--</v>
          </cell>
          <cell r="L319">
            <v>59.3</v>
          </cell>
          <cell r="M319">
            <v>62.7</v>
          </cell>
          <cell r="N319">
            <v>56.3</v>
          </cell>
          <cell r="O319">
            <v>66.099999999999994</v>
          </cell>
          <cell r="P319">
            <v>53.9</v>
          </cell>
          <cell r="Q319">
            <v>70.8</v>
          </cell>
          <cell r="R319">
            <v>74.2</v>
          </cell>
          <cell r="S319">
            <v>77.599999999999994</v>
          </cell>
          <cell r="T319">
            <v>81</v>
          </cell>
          <cell r="U319">
            <v>62.4</v>
          </cell>
          <cell r="V319">
            <v>65.5</v>
          </cell>
          <cell r="W319">
            <v>58.1</v>
          </cell>
          <cell r="X319">
            <v>68.7</v>
          </cell>
          <cell r="Y319">
            <v>61.6</v>
          </cell>
          <cell r="Z319">
            <v>73.099999999999994</v>
          </cell>
          <cell r="AA319">
            <v>76.2</v>
          </cell>
          <cell r="AB319">
            <v>79.400000000000006</v>
          </cell>
          <cell r="AC319">
            <v>82.5</v>
          </cell>
          <cell r="AD319">
            <v>52.6</v>
          </cell>
          <cell r="AE319">
            <v>56.6</v>
          </cell>
          <cell r="AF319">
            <v>53</v>
          </cell>
          <cell r="AG319">
            <v>60.5</v>
          </cell>
          <cell r="AH319">
            <v>47.9</v>
          </cell>
          <cell r="AI319">
            <v>65.8</v>
          </cell>
          <cell r="AJ319">
            <v>69.7</v>
          </cell>
          <cell r="AK319">
            <v>73.7</v>
          </cell>
          <cell r="AL319">
            <v>77.599999999999994</v>
          </cell>
          <cell r="AM319" t="str">
            <v>--</v>
          </cell>
          <cell r="AN319" t="str">
            <v>--</v>
          </cell>
          <cell r="AO319" t="str">
            <v>--</v>
          </cell>
          <cell r="AP319" t="str">
            <v>--</v>
          </cell>
          <cell r="AQ319" t="str">
            <v>--</v>
          </cell>
          <cell r="AR319" t="str">
            <v>--</v>
          </cell>
          <cell r="AS319" t="str">
            <v>--</v>
          </cell>
          <cell r="AT319" t="str">
            <v>--</v>
          </cell>
          <cell r="AU319" t="str">
            <v>--</v>
          </cell>
          <cell r="AV319" t="str">
            <v>--</v>
          </cell>
          <cell r="AW319" t="str">
            <v>--</v>
          </cell>
          <cell r="AX319" t="str">
            <v>--</v>
          </cell>
          <cell r="AY319" t="str">
            <v>--</v>
          </cell>
          <cell r="AZ319" t="str">
            <v>--</v>
          </cell>
          <cell r="BA319" t="str">
            <v>--</v>
          </cell>
          <cell r="BB319" t="str">
            <v>--</v>
          </cell>
          <cell r="BC319" t="str">
            <v>--</v>
          </cell>
          <cell r="BD319" t="str">
            <v>--</v>
          </cell>
          <cell r="BE319" t="str">
            <v>--</v>
          </cell>
          <cell r="BF319" t="str">
            <v>--</v>
          </cell>
          <cell r="BG319" t="str">
            <v>--</v>
          </cell>
          <cell r="BH319" t="str">
            <v>--</v>
          </cell>
          <cell r="BI319" t="str">
            <v>--</v>
          </cell>
          <cell r="BJ319" t="str">
            <v>--</v>
          </cell>
          <cell r="BK319" t="str">
            <v>--</v>
          </cell>
          <cell r="BL319" t="str">
            <v>--</v>
          </cell>
          <cell r="BM319" t="str">
            <v>--</v>
          </cell>
          <cell r="BN319">
            <v>43.5</v>
          </cell>
          <cell r="BO319">
            <v>51</v>
          </cell>
          <cell r="BP319">
            <v>33</v>
          </cell>
          <cell r="BQ319">
            <v>43</v>
          </cell>
          <cell r="BR319">
            <v>26</v>
          </cell>
          <cell r="BS319">
            <v>40.5</v>
          </cell>
          <cell r="BT319">
            <v>55</v>
          </cell>
          <cell r="BU319">
            <v>60</v>
          </cell>
          <cell r="BV319">
            <v>60</v>
          </cell>
          <cell r="BW319">
            <v>48</v>
          </cell>
          <cell r="BX319">
            <v>51</v>
          </cell>
          <cell r="BY319">
            <v>45</v>
          </cell>
          <cell r="BZ319">
            <v>51</v>
          </cell>
          <cell r="CA319">
            <v>52.5</v>
          </cell>
          <cell r="CB319">
            <v>60</v>
          </cell>
          <cell r="CC319">
            <v>60</v>
          </cell>
          <cell r="CD319">
            <v>60</v>
          </cell>
          <cell r="CE319">
            <v>60</v>
          </cell>
          <cell r="CF319">
            <v>28.4</v>
          </cell>
          <cell r="CG319">
            <v>25.6</v>
          </cell>
          <cell r="CH319">
            <v>34.200000000000003</v>
          </cell>
          <cell r="CI319">
            <v>30.8</v>
          </cell>
          <cell r="CJ319">
            <v>38.299999999999997</v>
          </cell>
          <cell r="CK319">
            <v>34.5</v>
          </cell>
          <cell r="CL319">
            <v>31</v>
          </cell>
          <cell r="CM319">
            <v>27.9</v>
          </cell>
          <cell r="CN319">
            <v>25.1</v>
          </cell>
          <cell r="CO319">
            <v>24.1</v>
          </cell>
          <cell r="CP319">
            <v>21.7</v>
          </cell>
          <cell r="CQ319">
            <v>32.5</v>
          </cell>
          <cell r="CR319">
            <v>29.3</v>
          </cell>
          <cell r="CS319">
            <v>30.9</v>
          </cell>
          <cell r="CT319">
            <v>27.8</v>
          </cell>
          <cell r="CU319">
            <v>25</v>
          </cell>
          <cell r="CV319">
            <v>22.5</v>
          </cell>
          <cell r="CW319">
            <v>20.3</v>
          </cell>
          <cell r="CX319">
            <v>40.799999999999997</v>
          </cell>
          <cell r="CY319">
            <v>36.700000000000003</v>
          </cell>
          <cell r="CZ319">
            <v>36</v>
          </cell>
          <cell r="DA319">
            <v>32.4</v>
          </cell>
          <cell r="DB319">
            <v>41.7</v>
          </cell>
          <cell r="DC319">
            <v>37.5</v>
          </cell>
          <cell r="DD319">
            <v>33.799999999999997</v>
          </cell>
          <cell r="DE319">
            <v>30.4</v>
          </cell>
          <cell r="DF319">
            <v>27.4</v>
          </cell>
          <cell r="DG319">
            <v>0.7</v>
          </cell>
          <cell r="DH319">
            <v>0.8</v>
          </cell>
          <cell r="DI319">
            <v>1.3</v>
          </cell>
          <cell r="DJ319">
            <v>1.4</v>
          </cell>
          <cell r="DK319">
            <v>1.9</v>
          </cell>
          <cell r="DL319">
            <v>2.1</v>
          </cell>
          <cell r="DM319">
            <v>2.2999999999999998</v>
          </cell>
          <cell r="DN319">
            <v>2.5</v>
          </cell>
          <cell r="DO319">
            <v>2.8</v>
          </cell>
          <cell r="DP319">
            <v>2.2999999999999998</v>
          </cell>
          <cell r="DQ319">
            <v>2.5</v>
          </cell>
          <cell r="DR319">
            <v>5.0999999999999996</v>
          </cell>
          <cell r="DS319">
            <v>5.6</v>
          </cell>
          <cell r="DT319">
            <v>5.6</v>
          </cell>
          <cell r="DU319">
            <v>6.2</v>
          </cell>
          <cell r="DV319">
            <v>6.8</v>
          </cell>
          <cell r="DW319">
            <v>7.5</v>
          </cell>
          <cell r="DX319">
            <v>8.1999999999999993</v>
          </cell>
          <cell r="DY319">
            <v>2</v>
          </cell>
          <cell r="DZ319">
            <v>2.2000000000000002</v>
          </cell>
          <cell r="EA319">
            <v>2</v>
          </cell>
          <cell r="EB319">
            <v>2.2000000000000002</v>
          </cell>
          <cell r="EC319">
            <v>0</v>
          </cell>
          <cell r="ED319">
            <v>1</v>
          </cell>
          <cell r="EE319">
            <v>1.1000000000000001</v>
          </cell>
          <cell r="EF319">
            <v>1.2</v>
          </cell>
          <cell r="EG319">
            <v>1.3</v>
          </cell>
        </row>
        <row r="320">
          <cell r="A320" t="str">
            <v>02810190Hispanic/Latino</v>
          </cell>
          <cell r="B320" t="str">
            <v>02810190H</v>
          </cell>
          <cell r="C320" t="str">
            <v>0281</v>
          </cell>
          <cell r="D320" t="str">
            <v>02810190</v>
          </cell>
          <cell r="E320" t="str">
            <v>Springfield</v>
          </cell>
          <cell r="F320" t="str">
            <v>White Street</v>
          </cell>
          <cell r="G320" t="str">
            <v>ES</v>
          </cell>
          <cell r="H320" t="str">
            <v>Springfield - White Street (02810190)</v>
          </cell>
          <cell r="I320" t="str">
            <v>Hispanic/Latino</v>
          </cell>
          <cell r="J320" t="str">
            <v>02810190Hispanic/Latino</v>
          </cell>
          <cell r="K320" t="str">
            <v>--</v>
          </cell>
          <cell r="L320">
            <v>58.5</v>
          </cell>
          <cell r="M320">
            <v>62</v>
          </cell>
          <cell r="N320">
            <v>55.3</v>
          </cell>
          <cell r="O320">
            <v>65.400000000000006</v>
          </cell>
          <cell r="P320">
            <v>51.2</v>
          </cell>
          <cell r="Q320">
            <v>70.2</v>
          </cell>
          <cell r="R320">
            <v>73.599999999999994</v>
          </cell>
          <cell r="S320">
            <v>77.099999999999994</v>
          </cell>
          <cell r="T320">
            <v>80.599999999999994</v>
          </cell>
          <cell r="U320">
            <v>55</v>
          </cell>
          <cell r="V320">
            <v>58.8</v>
          </cell>
          <cell r="W320">
            <v>53.3</v>
          </cell>
          <cell r="X320">
            <v>62.5</v>
          </cell>
          <cell r="Y320">
            <v>58.8</v>
          </cell>
          <cell r="Z320">
            <v>67.599999999999994</v>
          </cell>
          <cell r="AA320">
            <v>71.3</v>
          </cell>
          <cell r="AB320">
            <v>75.099999999999994</v>
          </cell>
          <cell r="AC320">
            <v>78.8</v>
          </cell>
          <cell r="AD320">
            <v>46.6</v>
          </cell>
          <cell r="AE320">
            <v>51.1</v>
          </cell>
          <cell r="AF320">
            <v>47.9</v>
          </cell>
          <cell r="AG320">
            <v>55.5</v>
          </cell>
          <cell r="AH320">
            <v>50</v>
          </cell>
          <cell r="AI320">
            <v>61.3</v>
          </cell>
          <cell r="AJ320">
            <v>65.7</v>
          </cell>
          <cell r="AK320">
            <v>70.2</v>
          </cell>
          <cell r="AL320">
            <v>74.599999999999994</v>
          </cell>
          <cell r="AM320" t="str">
            <v>--</v>
          </cell>
          <cell r="AN320" t="str">
            <v>--</v>
          </cell>
          <cell r="AO320" t="str">
            <v>--</v>
          </cell>
          <cell r="AP320" t="str">
            <v>--</v>
          </cell>
          <cell r="AQ320" t="str">
            <v>--</v>
          </cell>
          <cell r="AR320" t="str">
            <v>--</v>
          </cell>
          <cell r="AS320" t="str">
            <v>--</v>
          </cell>
          <cell r="AT320" t="str">
            <v>--</v>
          </cell>
          <cell r="AU320" t="str">
            <v>--</v>
          </cell>
          <cell r="AV320" t="str">
            <v>--</v>
          </cell>
          <cell r="AW320" t="str">
            <v>--</v>
          </cell>
          <cell r="AX320" t="str">
            <v>--</v>
          </cell>
          <cell r="AY320" t="str">
            <v>--</v>
          </cell>
          <cell r="AZ320" t="str">
            <v>--</v>
          </cell>
          <cell r="BA320" t="str">
            <v>--</v>
          </cell>
          <cell r="BB320" t="str">
            <v>--</v>
          </cell>
          <cell r="BC320" t="str">
            <v>--</v>
          </cell>
          <cell r="BD320" t="str">
            <v>--</v>
          </cell>
          <cell r="BE320" t="str">
            <v>--</v>
          </cell>
          <cell r="BF320" t="str">
            <v>--</v>
          </cell>
          <cell r="BG320" t="str">
            <v>--</v>
          </cell>
          <cell r="BH320" t="str">
            <v>--</v>
          </cell>
          <cell r="BI320" t="str">
            <v>--</v>
          </cell>
          <cell r="BJ320" t="str">
            <v>--</v>
          </cell>
          <cell r="BK320" t="str">
            <v>--</v>
          </cell>
          <cell r="BL320" t="str">
            <v>--</v>
          </cell>
          <cell r="BM320" t="str">
            <v>--</v>
          </cell>
          <cell r="BN320">
            <v>46</v>
          </cell>
          <cell r="BO320">
            <v>51</v>
          </cell>
          <cell r="BP320">
            <v>32.5</v>
          </cell>
          <cell r="BQ320">
            <v>42.5</v>
          </cell>
          <cell r="BR320">
            <v>24.5</v>
          </cell>
          <cell r="BS320">
            <v>39</v>
          </cell>
          <cell r="BT320">
            <v>53.5</v>
          </cell>
          <cell r="BU320">
            <v>60</v>
          </cell>
          <cell r="BV320">
            <v>60</v>
          </cell>
          <cell r="BW320">
            <v>49.5</v>
          </cell>
          <cell r="BX320">
            <v>51</v>
          </cell>
          <cell r="BY320">
            <v>34</v>
          </cell>
          <cell r="BZ320">
            <v>44</v>
          </cell>
          <cell r="CA320">
            <v>47</v>
          </cell>
          <cell r="CB320">
            <v>60</v>
          </cell>
          <cell r="CC320">
            <v>60</v>
          </cell>
          <cell r="CD320">
            <v>60</v>
          </cell>
          <cell r="CE320">
            <v>60</v>
          </cell>
          <cell r="CF320">
            <v>28.2</v>
          </cell>
          <cell r="CG320">
            <v>25.4</v>
          </cell>
          <cell r="CH320">
            <v>34.299999999999997</v>
          </cell>
          <cell r="CI320">
            <v>30.9</v>
          </cell>
          <cell r="CJ320">
            <v>40.700000000000003</v>
          </cell>
          <cell r="CK320">
            <v>36.6</v>
          </cell>
          <cell r="CL320">
            <v>33</v>
          </cell>
          <cell r="CM320">
            <v>29.7</v>
          </cell>
          <cell r="CN320">
            <v>26.7</v>
          </cell>
          <cell r="CO320">
            <v>34.299999999999997</v>
          </cell>
          <cell r="CP320">
            <v>30.9</v>
          </cell>
          <cell r="CQ320">
            <v>36.700000000000003</v>
          </cell>
          <cell r="CR320">
            <v>33</v>
          </cell>
          <cell r="CS320">
            <v>34.299999999999997</v>
          </cell>
          <cell r="CT320">
            <v>30.9</v>
          </cell>
          <cell r="CU320">
            <v>27.8</v>
          </cell>
          <cell r="CV320">
            <v>25</v>
          </cell>
          <cell r="CW320">
            <v>22.5</v>
          </cell>
          <cell r="CX320">
            <v>44.8</v>
          </cell>
          <cell r="CY320">
            <v>40.299999999999997</v>
          </cell>
          <cell r="CZ320">
            <v>37.5</v>
          </cell>
          <cell r="DA320">
            <v>33.799999999999997</v>
          </cell>
          <cell r="DB320">
            <v>41.4</v>
          </cell>
          <cell r="DC320">
            <v>37.299999999999997</v>
          </cell>
          <cell r="DD320">
            <v>33.5</v>
          </cell>
          <cell r="DE320">
            <v>30.2</v>
          </cell>
          <cell r="DF320">
            <v>27.2</v>
          </cell>
          <cell r="DG320">
            <v>1.4</v>
          </cell>
          <cell r="DH320">
            <v>1.5</v>
          </cell>
          <cell r="DI320">
            <v>2</v>
          </cell>
          <cell r="DJ320">
            <v>2.2000000000000002</v>
          </cell>
          <cell r="DK320">
            <v>0</v>
          </cell>
          <cell r="DL320">
            <v>1</v>
          </cell>
          <cell r="DM320">
            <v>1.1000000000000001</v>
          </cell>
          <cell r="DN320">
            <v>1.2</v>
          </cell>
          <cell r="DO320">
            <v>1.3</v>
          </cell>
          <cell r="DP320">
            <v>1.4</v>
          </cell>
          <cell r="DQ320">
            <v>1.5</v>
          </cell>
          <cell r="DR320">
            <v>2</v>
          </cell>
          <cell r="DS320">
            <v>2.2000000000000002</v>
          </cell>
          <cell r="DT320">
            <v>3.7</v>
          </cell>
          <cell r="DU320">
            <v>4.0999999999999996</v>
          </cell>
          <cell r="DV320">
            <v>4.5</v>
          </cell>
          <cell r="DW320">
            <v>4.9000000000000004</v>
          </cell>
          <cell r="DX320">
            <v>5.4</v>
          </cell>
          <cell r="DY320">
            <v>3.4</v>
          </cell>
          <cell r="DZ320">
            <v>3.7</v>
          </cell>
          <cell r="EA320">
            <v>4.2</v>
          </cell>
          <cell r="EB320">
            <v>4.5999999999999996</v>
          </cell>
          <cell r="EC320">
            <v>0</v>
          </cell>
          <cell r="ED320">
            <v>1</v>
          </cell>
          <cell r="EE320">
            <v>1.1000000000000001</v>
          </cell>
          <cell r="EF320">
            <v>1.2</v>
          </cell>
          <cell r="EG320">
            <v>1.3</v>
          </cell>
        </row>
        <row r="321">
          <cell r="A321" t="str">
            <v>02810190ELL and Former ELL</v>
          </cell>
          <cell r="B321" t="str">
            <v>02810190L</v>
          </cell>
          <cell r="C321" t="str">
            <v>0281</v>
          </cell>
          <cell r="D321" t="str">
            <v>02810190</v>
          </cell>
          <cell r="E321" t="str">
            <v>Springfield</v>
          </cell>
          <cell r="F321" t="str">
            <v>White Street</v>
          </cell>
          <cell r="G321" t="str">
            <v>ES</v>
          </cell>
          <cell r="H321" t="str">
            <v>Springfield - White Street (02810190)</v>
          </cell>
          <cell r="I321" t="str">
            <v>ELL and Former ELL</v>
          </cell>
          <cell r="J321" t="str">
            <v>02810190ELL and Former ELL</v>
          </cell>
          <cell r="K321" t="str">
            <v>--</v>
          </cell>
          <cell r="L321">
            <v>41.4</v>
          </cell>
          <cell r="M321">
            <v>46.3</v>
          </cell>
          <cell r="N321">
            <v>47.8</v>
          </cell>
          <cell r="O321">
            <v>51.2</v>
          </cell>
          <cell r="P321">
            <v>43.1</v>
          </cell>
          <cell r="Q321">
            <v>57.4</v>
          </cell>
          <cell r="R321">
            <v>62.2</v>
          </cell>
          <cell r="S321">
            <v>67.099999999999994</v>
          </cell>
          <cell r="T321">
            <v>72</v>
          </cell>
          <cell r="U321">
            <v>48.4</v>
          </cell>
          <cell r="V321">
            <v>52.7</v>
          </cell>
          <cell r="W321">
            <v>54.4</v>
          </cell>
          <cell r="X321">
            <v>57</v>
          </cell>
          <cell r="Y321">
            <v>50.5</v>
          </cell>
          <cell r="Z321">
            <v>62.6</v>
          </cell>
          <cell r="AA321">
            <v>66.900000000000006</v>
          </cell>
          <cell r="AB321">
            <v>71.2</v>
          </cell>
          <cell r="AC321">
            <v>75.5</v>
          </cell>
          <cell r="AD321" t="str">
            <v>--</v>
          </cell>
          <cell r="AE321" t="str">
            <v>--</v>
          </cell>
          <cell r="AF321" t="str">
            <v>--</v>
          </cell>
          <cell r="AG321" t="str">
            <v>--</v>
          </cell>
          <cell r="AH321" t="str">
            <v>--</v>
          </cell>
          <cell r="AI321" t="str">
            <v>--</v>
          </cell>
          <cell r="AJ321" t="str">
            <v>--</v>
          </cell>
          <cell r="AK321" t="str">
            <v>--</v>
          </cell>
          <cell r="AL321" t="str">
            <v>--</v>
          </cell>
          <cell r="AM321" t="str">
            <v>--</v>
          </cell>
          <cell r="AN321" t="str">
            <v>--</v>
          </cell>
          <cell r="AO321" t="str">
            <v>--</v>
          </cell>
          <cell r="AP321" t="str">
            <v>--</v>
          </cell>
          <cell r="AQ321" t="str">
            <v>--</v>
          </cell>
          <cell r="AR321" t="str">
            <v>--</v>
          </cell>
          <cell r="AS321" t="str">
            <v>--</v>
          </cell>
          <cell r="AT321" t="str">
            <v>--</v>
          </cell>
          <cell r="AU321" t="str">
            <v>--</v>
          </cell>
          <cell r="AV321" t="str">
            <v>--</v>
          </cell>
          <cell r="AW321" t="str">
            <v>--</v>
          </cell>
          <cell r="AX321" t="str">
            <v>--</v>
          </cell>
          <cell r="AY321" t="str">
            <v>--</v>
          </cell>
          <cell r="AZ321" t="str">
            <v>--</v>
          </cell>
          <cell r="BA321" t="str">
            <v>--</v>
          </cell>
          <cell r="BB321" t="str">
            <v>--</v>
          </cell>
          <cell r="BC321" t="str">
            <v>--</v>
          </cell>
          <cell r="BD321" t="str">
            <v>--</v>
          </cell>
          <cell r="BE321" t="str">
            <v>--</v>
          </cell>
          <cell r="BF321" t="str">
            <v>--</v>
          </cell>
          <cell r="BG321" t="str">
            <v>--</v>
          </cell>
          <cell r="BH321" t="str">
            <v>--</v>
          </cell>
          <cell r="BI321" t="str">
            <v>--</v>
          </cell>
          <cell r="BJ321" t="str">
            <v>--</v>
          </cell>
          <cell r="BK321" t="str">
            <v>--</v>
          </cell>
          <cell r="BL321" t="str">
            <v>--</v>
          </cell>
          <cell r="BM321" t="str">
            <v>--</v>
          </cell>
          <cell r="BN321" t="str">
            <v>--</v>
          </cell>
          <cell r="BO321" t="str">
            <v>--</v>
          </cell>
          <cell r="BP321">
            <v>29.5</v>
          </cell>
          <cell r="BQ321" t="str">
            <v>--</v>
          </cell>
          <cell r="BR321">
            <v>32</v>
          </cell>
          <cell r="BS321">
            <v>46.5</v>
          </cell>
          <cell r="BT321">
            <v>60</v>
          </cell>
          <cell r="BU321">
            <v>60</v>
          </cell>
          <cell r="BV321">
            <v>60</v>
          </cell>
          <cell r="BW321" t="str">
            <v>--</v>
          </cell>
          <cell r="BX321" t="str">
            <v>--</v>
          </cell>
          <cell r="BY321" t="str">
            <v>--</v>
          </cell>
          <cell r="BZ321" t="str">
            <v>--</v>
          </cell>
          <cell r="CA321">
            <v>58.5</v>
          </cell>
          <cell r="CB321">
            <v>60</v>
          </cell>
          <cell r="CC321">
            <v>60</v>
          </cell>
          <cell r="CD321">
            <v>60</v>
          </cell>
          <cell r="CE321">
            <v>60</v>
          </cell>
          <cell r="CF321">
            <v>53.1</v>
          </cell>
          <cell r="CG321">
            <v>47.8</v>
          </cell>
          <cell r="CH321">
            <v>50</v>
          </cell>
          <cell r="CI321">
            <v>45</v>
          </cell>
          <cell r="CJ321">
            <v>56.9</v>
          </cell>
          <cell r="CK321">
            <v>51.2</v>
          </cell>
          <cell r="CL321">
            <v>46.1</v>
          </cell>
          <cell r="CM321">
            <v>41.5</v>
          </cell>
          <cell r="CN321">
            <v>37.299999999999997</v>
          </cell>
          <cell r="CO321">
            <v>38.700000000000003</v>
          </cell>
          <cell r="CP321">
            <v>34.799999999999997</v>
          </cell>
          <cell r="CQ321">
            <v>35.6</v>
          </cell>
          <cell r="CR321">
            <v>32</v>
          </cell>
          <cell r="CS321">
            <v>45.1</v>
          </cell>
          <cell r="CT321">
            <v>40.6</v>
          </cell>
          <cell r="CU321">
            <v>36.5</v>
          </cell>
          <cell r="CV321">
            <v>32.9</v>
          </cell>
          <cell r="CW321">
            <v>29.6</v>
          </cell>
          <cell r="CX321" t="str">
            <v>--</v>
          </cell>
          <cell r="CY321" t="str">
            <v>--</v>
          </cell>
          <cell r="CZ321" t="str">
            <v>--</v>
          </cell>
          <cell r="DA321" t="str">
            <v>--</v>
          </cell>
          <cell r="DB321" t="str">
            <v>--</v>
          </cell>
          <cell r="DC321" t="str">
            <v>--</v>
          </cell>
          <cell r="DD321" t="str">
            <v>--</v>
          </cell>
          <cell r="DE321" t="str">
            <v>--</v>
          </cell>
          <cell r="DF321" t="str">
            <v>--</v>
          </cell>
          <cell r="DG321">
            <v>3.1</v>
          </cell>
          <cell r="DH321">
            <v>3.4</v>
          </cell>
          <cell r="DI321">
            <v>2.2000000000000002</v>
          </cell>
          <cell r="DJ321">
            <v>2.4</v>
          </cell>
          <cell r="DK321">
            <v>2</v>
          </cell>
          <cell r="DL321">
            <v>2.2000000000000002</v>
          </cell>
          <cell r="DM321">
            <v>2.4</v>
          </cell>
          <cell r="DN321">
            <v>2.7</v>
          </cell>
          <cell r="DO321">
            <v>2.9</v>
          </cell>
          <cell r="DP321">
            <v>3.2</v>
          </cell>
          <cell r="DQ321">
            <v>3.5</v>
          </cell>
          <cell r="DR321">
            <v>4.4000000000000004</v>
          </cell>
          <cell r="DS321">
            <v>4.8</v>
          </cell>
          <cell r="DT321">
            <v>5.9</v>
          </cell>
          <cell r="DU321">
            <v>6.5</v>
          </cell>
          <cell r="DV321">
            <v>7.1</v>
          </cell>
          <cell r="DW321">
            <v>7.9</v>
          </cell>
          <cell r="DX321">
            <v>8.6</v>
          </cell>
          <cell r="DY321" t="str">
            <v>--</v>
          </cell>
          <cell r="DZ321" t="str">
            <v>--</v>
          </cell>
          <cell r="EA321" t="str">
            <v>--</v>
          </cell>
          <cell r="EB321" t="str">
            <v>--</v>
          </cell>
          <cell r="EC321" t="str">
            <v>--</v>
          </cell>
          <cell r="ED321" t="str">
            <v>--</v>
          </cell>
          <cell r="EE321" t="str">
            <v>--</v>
          </cell>
          <cell r="EF321" t="str">
            <v>--</v>
          </cell>
          <cell r="EG321" t="str">
            <v>--</v>
          </cell>
        </row>
        <row r="322">
          <cell r="A322" t="str">
            <v>02810190Multi-race, Non-Hisp./Lat.</v>
          </cell>
          <cell r="B322" t="str">
            <v>02810190M</v>
          </cell>
          <cell r="C322" t="str">
            <v>0281</v>
          </cell>
          <cell r="D322" t="str">
            <v>02810190</v>
          </cell>
          <cell r="E322" t="str">
            <v>Springfield</v>
          </cell>
          <cell r="F322" t="str">
            <v>White Street</v>
          </cell>
          <cell r="G322" t="str">
            <v>ES</v>
          </cell>
          <cell r="H322" t="str">
            <v>Springfield - White Street (02810190)</v>
          </cell>
          <cell r="I322" t="str">
            <v>Multi-race, Non-Hisp./Lat.</v>
          </cell>
          <cell r="J322" t="str">
            <v>02810190Multi-race, Non-Hisp./Lat.</v>
          </cell>
          <cell r="K322" t="str">
            <v>Level 4</v>
          </cell>
          <cell r="L322" t="str">
            <v>--</v>
          </cell>
          <cell r="M322" t="str">
            <v>--</v>
          </cell>
          <cell r="N322" t="str">
            <v>--</v>
          </cell>
          <cell r="O322" t="str">
            <v>--</v>
          </cell>
          <cell r="P322" t="str">
            <v>--</v>
          </cell>
          <cell r="Q322" t="str">
            <v>--</v>
          </cell>
          <cell r="R322" t="str">
            <v>--</v>
          </cell>
          <cell r="S322" t="str">
            <v>--</v>
          </cell>
          <cell r="T322" t="str">
            <v>--</v>
          </cell>
          <cell r="U322" t="str">
            <v>--</v>
          </cell>
          <cell r="V322" t="str">
            <v>--</v>
          </cell>
          <cell r="W322" t="str">
            <v>--</v>
          </cell>
          <cell r="X322" t="str">
            <v>--</v>
          </cell>
          <cell r="Y322" t="str">
            <v>--</v>
          </cell>
          <cell r="Z322" t="str">
            <v>--</v>
          </cell>
          <cell r="AA322" t="str">
            <v>--</v>
          </cell>
          <cell r="AB322" t="str">
            <v>--</v>
          </cell>
          <cell r="AC322" t="str">
            <v>--</v>
          </cell>
          <cell r="AD322" t="str">
            <v>--</v>
          </cell>
          <cell r="AE322" t="str">
            <v>--</v>
          </cell>
          <cell r="AF322" t="str">
            <v>--</v>
          </cell>
          <cell r="AG322" t="str">
            <v>--</v>
          </cell>
          <cell r="AH322" t="str">
            <v>--</v>
          </cell>
          <cell r="AI322" t="str">
            <v>--</v>
          </cell>
          <cell r="AJ322" t="str">
            <v>--</v>
          </cell>
          <cell r="AK322" t="str">
            <v>--</v>
          </cell>
          <cell r="AL322" t="str">
            <v>--</v>
          </cell>
          <cell r="AM322" t="str">
            <v>--</v>
          </cell>
          <cell r="AN322" t="str">
            <v>--</v>
          </cell>
          <cell r="AO322" t="str">
            <v>--</v>
          </cell>
          <cell r="AP322" t="str">
            <v>--</v>
          </cell>
          <cell r="AQ322" t="str">
            <v>--</v>
          </cell>
          <cell r="AR322" t="str">
            <v>--</v>
          </cell>
          <cell r="AS322" t="str">
            <v>--</v>
          </cell>
          <cell r="AT322" t="str">
            <v>--</v>
          </cell>
          <cell r="AU322" t="str">
            <v>--</v>
          </cell>
          <cell r="AV322" t="str">
            <v>--</v>
          </cell>
          <cell r="AW322" t="str">
            <v>--</v>
          </cell>
          <cell r="AX322" t="str">
            <v>--</v>
          </cell>
          <cell r="AY322" t="str">
            <v>--</v>
          </cell>
          <cell r="AZ322" t="str">
            <v>--</v>
          </cell>
          <cell r="BA322" t="str">
            <v>--</v>
          </cell>
          <cell r="BB322" t="str">
            <v>--</v>
          </cell>
          <cell r="BC322" t="str">
            <v>--</v>
          </cell>
          <cell r="BD322" t="str">
            <v>--</v>
          </cell>
          <cell r="BE322" t="str">
            <v>--</v>
          </cell>
          <cell r="BF322" t="str">
            <v>--</v>
          </cell>
          <cell r="BG322" t="str">
            <v>--</v>
          </cell>
          <cell r="BH322" t="str">
            <v>--</v>
          </cell>
          <cell r="BI322" t="str">
            <v>--</v>
          </cell>
          <cell r="BJ322" t="str">
            <v>--</v>
          </cell>
          <cell r="BK322" t="str">
            <v>--</v>
          </cell>
          <cell r="BL322" t="str">
            <v>--</v>
          </cell>
          <cell r="BM322" t="str">
            <v>--</v>
          </cell>
          <cell r="BN322" t="str">
            <v>--</v>
          </cell>
          <cell r="BO322" t="str">
            <v>--</v>
          </cell>
          <cell r="BP322" t="str">
            <v>--</v>
          </cell>
          <cell r="BQ322" t="str">
            <v>--</v>
          </cell>
          <cell r="BR322" t="str">
            <v>--</v>
          </cell>
          <cell r="BS322" t="str">
            <v>--</v>
          </cell>
          <cell r="BT322" t="str">
            <v>--</v>
          </cell>
          <cell r="BU322" t="str">
            <v>--</v>
          </cell>
          <cell r="BV322" t="str">
            <v>--</v>
          </cell>
          <cell r="BW322" t="str">
            <v>--</v>
          </cell>
          <cell r="BX322" t="str">
            <v>--</v>
          </cell>
          <cell r="BY322" t="str">
            <v>--</v>
          </cell>
          <cell r="BZ322" t="str">
            <v>--</v>
          </cell>
          <cell r="CA322" t="str">
            <v>--</v>
          </cell>
          <cell r="CB322" t="str">
            <v>--</v>
          </cell>
          <cell r="CC322" t="str">
            <v>--</v>
          </cell>
          <cell r="CD322" t="str">
            <v>--</v>
          </cell>
          <cell r="CE322" t="str">
            <v>--</v>
          </cell>
          <cell r="CF322" t="str">
            <v>--</v>
          </cell>
          <cell r="CG322" t="str">
            <v>--</v>
          </cell>
          <cell r="CH322" t="str">
            <v>--</v>
          </cell>
          <cell r="CI322" t="str">
            <v>--</v>
          </cell>
          <cell r="CJ322" t="str">
            <v>--</v>
          </cell>
          <cell r="CK322" t="str">
            <v>--</v>
          </cell>
          <cell r="CL322" t="str">
            <v>--</v>
          </cell>
          <cell r="CM322" t="str">
            <v>--</v>
          </cell>
          <cell r="CN322" t="str">
            <v>--</v>
          </cell>
          <cell r="CO322" t="str">
            <v>--</v>
          </cell>
          <cell r="CP322" t="str">
            <v>--</v>
          </cell>
          <cell r="CQ322" t="str">
            <v>--</v>
          </cell>
          <cell r="CR322" t="str">
            <v>--</v>
          </cell>
          <cell r="CS322" t="str">
            <v>--</v>
          </cell>
          <cell r="CT322" t="str">
            <v>--</v>
          </cell>
          <cell r="CU322" t="str">
            <v>--</v>
          </cell>
          <cell r="CV322" t="str">
            <v>--</v>
          </cell>
          <cell r="CW322" t="str">
            <v>--</v>
          </cell>
          <cell r="CX322" t="str">
            <v>--</v>
          </cell>
          <cell r="CY322" t="str">
            <v>--</v>
          </cell>
          <cell r="CZ322" t="str">
            <v>--</v>
          </cell>
          <cell r="DA322" t="str">
            <v>--</v>
          </cell>
          <cell r="DB322" t="str">
            <v>--</v>
          </cell>
          <cell r="DC322" t="str">
            <v>--</v>
          </cell>
          <cell r="DD322" t="str">
            <v>--</v>
          </cell>
          <cell r="DE322" t="str">
            <v>--</v>
          </cell>
          <cell r="DF322" t="str">
            <v>--</v>
          </cell>
          <cell r="DG322" t="str">
            <v>--</v>
          </cell>
          <cell r="DH322" t="str">
            <v>--</v>
          </cell>
          <cell r="DI322" t="str">
            <v>--</v>
          </cell>
          <cell r="DJ322" t="str">
            <v>--</v>
          </cell>
          <cell r="DK322" t="str">
            <v>--</v>
          </cell>
          <cell r="DL322" t="str">
            <v>--</v>
          </cell>
          <cell r="DM322" t="str">
            <v>--</v>
          </cell>
          <cell r="DN322" t="str">
            <v>--</v>
          </cell>
          <cell r="DO322" t="str">
            <v>--</v>
          </cell>
          <cell r="DP322" t="str">
            <v>--</v>
          </cell>
          <cell r="DQ322" t="str">
            <v>--</v>
          </cell>
          <cell r="DR322" t="str">
            <v>--</v>
          </cell>
          <cell r="DS322" t="str">
            <v>--</v>
          </cell>
          <cell r="DT322" t="str">
            <v>--</v>
          </cell>
          <cell r="DU322" t="str">
            <v>--</v>
          </cell>
          <cell r="DV322" t="str">
            <v>--</v>
          </cell>
          <cell r="DW322" t="str">
            <v>--</v>
          </cell>
          <cell r="DX322" t="str">
            <v>--</v>
          </cell>
          <cell r="DY322" t="str">
            <v>--</v>
          </cell>
          <cell r="DZ322" t="str">
            <v>--</v>
          </cell>
          <cell r="EA322" t="str">
            <v>--</v>
          </cell>
          <cell r="EB322" t="str">
            <v>--</v>
          </cell>
          <cell r="EC322" t="str">
            <v>--</v>
          </cell>
          <cell r="ED322" t="str">
            <v>--</v>
          </cell>
          <cell r="EE322" t="str">
            <v>--</v>
          </cell>
          <cell r="EF322" t="str">
            <v>--</v>
          </cell>
          <cell r="EG322" t="str">
            <v>--</v>
          </cell>
        </row>
        <row r="323">
          <cell r="A323" t="str">
            <v>02810190Amer. Ind. or Alaska Nat.</v>
          </cell>
          <cell r="B323" t="str">
            <v>02810190N</v>
          </cell>
          <cell r="C323" t="str">
            <v>0281</v>
          </cell>
          <cell r="D323" t="str">
            <v>02810190</v>
          </cell>
          <cell r="E323" t="str">
            <v>Springfield</v>
          </cell>
          <cell r="F323" t="str">
            <v>White Street</v>
          </cell>
          <cell r="G323" t="str">
            <v>ES</v>
          </cell>
          <cell r="H323" t="str">
            <v>Springfield - White Street (02810190)</v>
          </cell>
          <cell r="I323" t="str">
            <v>Amer. Ind. or Alaska Nat.</v>
          </cell>
          <cell r="J323" t="str">
            <v>02810190Amer. Ind. or Alaska Nat.</v>
          </cell>
          <cell r="K323" t="str">
            <v>--</v>
          </cell>
          <cell r="L323" t="str">
            <v>--</v>
          </cell>
          <cell r="M323" t="str">
            <v>--</v>
          </cell>
          <cell r="N323" t="str">
            <v>--</v>
          </cell>
          <cell r="O323" t="str">
            <v>--</v>
          </cell>
          <cell r="P323" t="str">
            <v>--</v>
          </cell>
          <cell r="Q323" t="str">
            <v>--</v>
          </cell>
          <cell r="R323" t="str">
            <v>--</v>
          </cell>
          <cell r="S323" t="str">
            <v>--</v>
          </cell>
          <cell r="T323" t="str">
            <v>--</v>
          </cell>
          <cell r="U323" t="str">
            <v>--</v>
          </cell>
          <cell r="V323" t="str">
            <v>--</v>
          </cell>
          <cell r="W323" t="str">
            <v>--</v>
          </cell>
          <cell r="X323" t="str">
            <v>--</v>
          </cell>
          <cell r="Y323" t="str">
            <v>--</v>
          </cell>
          <cell r="Z323" t="str">
            <v>--</v>
          </cell>
          <cell r="AA323" t="str">
            <v>--</v>
          </cell>
          <cell r="AB323" t="str">
            <v>--</v>
          </cell>
          <cell r="AC323" t="str">
            <v>--</v>
          </cell>
          <cell r="AD323" t="str">
            <v>--</v>
          </cell>
          <cell r="AE323" t="str">
            <v>--</v>
          </cell>
          <cell r="AF323" t="str">
            <v>--</v>
          </cell>
          <cell r="AG323" t="str">
            <v>--</v>
          </cell>
          <cell r="AH323" t="str">
            <v>--</v>
          </cell>
          <cell r="AI323" t="str">
            <v>--</v>
          </cell>
          <cell r="AJ323" t="str">
            <v>--</v>
          </cell>
          <cell r="AK323" t="str">
            <v>--</v>
          </cell>
          <cell r="AL323" t="str">
            <v>--</v>
          </cell>
          <cell r="AM323" t="str">
            <v>--</v>
          </cell>
          <cell r="AN323" t="str">
            <v>--</v>
          </cell>
          <cell r="AO323" t="str">
            <v>--</v>
          </cell>
          <cell r="AP323" t="str">
            <v>--</v>
          </cell>
          <cell r="AQ323" t="str">
            <v>--</v>
          </cell>
          <cell r="AR323" t="str">
            <v>--</v>
          </cell>
          <cell r="AS323" t="str">
            <v>--</v>
          </cell>
          <cell r="AT323" t="str">
            <v>--</v>
          </cell>
          <cell r="AU323" t="str">
            <v>--</v>
          </cell>
          <cell r="AV323" t="str">
            <v>--</v>
          </cell>
          <cell r="AW323" t="str">
            <v>--</v>
          </cell>
          <cell r="AX323" t="str">
            <v>--</v>
          </cell>
          <cell r="AY323" t="str">
            <v>--</v>
          </cell>
          <cell r="AZ323" t="str">
            <v>--</v>
          </cell>
          <cell r="BA323" t="str">
            <v>--</v>
          </cell>
          <cell r="BB323" t="str">
            <v>--</v>
          </cell>
          <cell r="BC323" t="str">
            <v>--</v>
          </cell>
          <cell r="BD323" t="str">
            <v>--</v>
          </cell>
          <cell r="BE323" t="str">
            <v>--</v>
          </cell>
          <cell r="BF323" t="str">
            <v>--</v>
          </cell>
          <cell r="BG323" t="str">
            <v>--</v>
          </cell>
          <cell r="BH323" t="str">
            <v>--</v>
          </cell>
          <cell r="BI323" t="str">
            <v>--</v>
          </cell>
          <cell r="BJ323" t="str">
            <v>--</v>
          </cell>
          <cell r="BK323" t="str">
            <v>--</v>
          </cell>
          <cell r="BL323" t="str">
            <v>--</v>
          </cell>
          <cell r="BM323" t="str">
            <v>--</v>
          </cell>
          <cell r="BN323" t="str">
            <v>--</v>
          </cell>
          <cell r="BO323" t="str">
            <v>--</v>
          </cell>
          <cell r="BP323" t="str">
            <v>--</v>
          </cell>
          <cell r="BQ323" t="str">
            <v>--</v>
          </cell>
          <cell r="BR323" t="str">
            <v>--</v>
          </cell>
          <cell r="BS323" t="str">
            <v>--</v>
          </cell>
          <cell r="BT323" t="str">
            <v>--</v>
          </cell>
          <cell r="BU323" t="str">
            <v>--</v>
          </cell>
          <cell r="BV323" t="str">
            <v>--</v>
          </cell>
          <cell r="BW323" t="str">
            <v>--</v>
          </cell>
          <cell r="BX323" t="str">
            <v>--</v>
          </cell>
          <cell r="BY323" t="str">
            <v>--</v>
          </cell>
          <cell r="BZ323" t="str">
            <v>--</v>
          </cell>
          <cell r="CA323" t="str">
            <v>--</v>
          </cell>
          <cell r="CB323" t="str">
            <v>--</v>
          </cell>
          <cell r="CC323" t="str">
            <v>--</v>
          </cell>
          <cell r="CD323" t="str">
            <v>--</v>
          </cell>
          <cell r="CE323" t="str">
            <v>--</v>
          </cell>
          <cell r="CF323" t="str">
            <v>--</v>
          </cell>
          <cell r="CG323" t="str">
            <v>--</v>
          </cell>
          <cell r="CH323" t="str">
            <v>--</v>
          </cell>
          <cell r="CI323" t="str">
            <v>--</v>
          </cell>
          <cell r="CJ323" t="str">
            <v>--</v>
          </cell>
          <cell r="CK323" t="str">
            <v>--</v>
          </cell>
          <cell r="CL323" t="str">
            <v>--</v>
          </cell>
          <cell r="CM323" t="str">
            <v>--</v>
          </cell>
          <cell r="CN323" t="str">
            <v>--</v>
          </cell>
          <cell r="CO323" t="str">
            <v>--</v>
          </cell>
          <cell r="CP323" t="str">
            <v>--</v>
          </cell>
          <cell r="CQ323" t="str">
            <v>--</v>
          </cell>
          <cell r="CR323" t="str">
            <v>--</v>
          </cell>
          <cell r="CS323" t="str">
            <v>--</v>
          </cell>
          <cell r="CT323" t="str">
            <v>--</v>
          </cell>
          <cell r="CU323" t="str">
            <v>--</v>
          </cell>
          <cell r="CV323" t="str">
            <v>--</v>
          </cell>
          <cell r="CW323" t="str">
            <v>--</v>
          </cell>
          <cell r="CX323" t="str">
            <v>--</v>
          </cell>
          <cell r="CY323" t="str">
            <v>--</v>
          </cell>
          <cell r="CZ323" t="str">
            <v>--</v>
          </cell>
          <cell r="DA323" t="str">
            <v>--</v>
          </cell>
          <cell r="DB323" t="str">
            <v>--</v>
          </cell>
          <cell r="DC323" t="str">
            <v>--</v>
          </cell>
          <cell r="DD323" t="str">
            <v>--</v>
          </cell>
          <cell r="DE323" t="str">
            <v>--</v>
          </cell>
          <cell r="DF323" t="str">
            <v>--</v>
          </cell>
          <cell r="DG323" t="str">
            <v>--</v>
          </cell>
          <cell r="DH323" t="str">
            <v>--</v>
          </cell>
          <cell r="DI323" t="str">
            <v>--</v>
          </cell>
          <cell r="DJ323" t="str">
            <v>--</v>
          </cell>
          <cell r="DK323" t="str">
            <v>--</v>
          </cell>
          <cell r="DL323" t="str">
            <v>--</v>
          </cell>
          <cell r="DM323" t="str">
            <v>--</v>
          </cell>
          <cell r="DN323" t="str">
            <v>--</v>
          </cell>
          <cell r="DO323" t="str">
            <v>--</v>
          </cell>
          <cell r="DP323" t="str">
            <v>--</v>
          </cell>
          <cell r="DQ323" t="str">
            <v>--</v>
          </cell>
          <cell r="DR323" t="str">
            <v>--</v>
          </cell>
          <cell r="DS323" t="str">
            <v>--</v>
          </cell>
          <cell r="DT323" t="str">
            <v>--</v>
          </cell>
          <cell r="DU323" t="str">
            <v>--</v>
          </cell>
          <cell r="DV323" t="str">
            <v>--</v>
          </cell>
          <cell r="DW323" t="str">
            <v>--</v>
          </cell>
          <cell r="DX323" t="str">
            <v>--</v>
          </cell>
          <cell r="DY323" t="str">
            <v>--</v>
          </cell>
          <cell r="DZ323" t="str">
            <v>--</v>
          </cell>
          <cell r="EA323" t="str">
            <v>--</v>
          </cell>
          <cell r="EB323" t="str">
            <v>--</v>
          </cell>
          <cell r="EC323" t="str">
            <v>--</v>
          </cell>
          <cell r="ED323" t="str">
            <v>--</v>
          </cell>
          <cell r="EE323" t="str">
            <v>--</v>
          </cell>
          <cell r="EF323" t="str">
            <v>--</v>
          </cell>
          <cell r="EG323" t="str">
            <v>--</v>
          </cell>
        </row>
        <row r="324">
          <cell r="A324" t="str">
            <v>02810190Nat. Haw. or Pacif. Isl.</v>
          </cell>
          <cell r="B324" t="str">
            <v>02810190P</v>
          </cell>
          <cell r="C324" t="str">
            <v>0281</v>
          </cell>
          <cell r="D324" t="str">
            <v>02810190</v>
          </cell>
          <cell r="E324" t="str">
            <v>Springfield</v>
          </cell>
          <cell r="F324" t="str">
            <v>White Street</v>
          </cell>
          <cell r="G324" t="str">
            <v>ES</v>
          </cell>
          <cell r="H324" t="str">
            <v>Springfield - White Street (02810190)</v>
          </cell>
          <cell r="I324" t="str">
            <v>Nat. Haw. or Pacif. Isl.</v>
          </cell>
          <cell r="J324" t="str">
            <v>02810190Nat. Haw. or Pacif. Isl.</v>
          </cell>
          <cell r="K324" t="str">
            <v>Level 4</v>
          </cell>
          <cell r="L324" t="str">
            <v>--</v>
          </cell>
          <cell r="M324" t="str">
            <v>--</v>
          </cell>
          <cell r="N324" t="str">
            <v>--</v>
          </cell>
          <cell r="O324" t="str">
            <v>--</v>
          </cell>
          <cell r="P324" t="str">
            <v>--</v>
          </cell>
          <cell r="Q324" t="str">
            <v>--</v>
          </cell>
          <cell r="R324" t="str">
            <v>--</v>
          </cell>
          <cell r="S324" t="str">
            <v>--</v>
          </cell>
          <cell r="T324" t="str">
            <v>--</v>
          </cell>
          <cell r="U324" t="str">
            <v>--</v>
          </cell>
          <cell r="V324" t="str">
            <v>--</v>
          </cell>
          <cell r="W324" t="str">
            <v>--</v>
          </cell>
          <cell r="X324" t="str">
            <v>--</v>
          </cell>
          <cell r="Y324" t="str">
            <v>--</v>
          </cell>
          <cell r="Z324" t="str">
            <v>--</v>
          </cell>
          <cell r="AA324" t="str">
            <v>--</v>
          </cell>
          <cell r="AB324" t="str">
            <v>--</v>
          </cell>
          <cell r="AC324" t="str">
            <v>--</v>
          </cell>
          <cell r="AD324" t="str">
            <v>--</v>
          </cell>
          <cell r="AE324" t="str">
            <v>--</v>
          </cell>
          <cell r="AF324" t="str">
            <v>--</v>
          </cell>
          <cell r="AG324" t="str">
            <v>--</v>
          </cell>
          <cell r="AH324" t="str">
            <v>--</v>
          </cell>
          <cell r="AI324" t="str">
            <v>--</v>
          </cell>
          <cell r="AJ324" t="str">
            <v>--</v>
          </cell>
          <cell r="AK324" t="str">
            <v>--</v>
          </cell>
          <cell r="AL324" t="str">
            <v>--</v>
          </cell>
          <cell r="AM324" t="str">
            <v>--</v>
          </cell>
          <cell r="AN324" t="str">
            <v>--</v>
          </cell>
          <cell r="AO324" t="str">
            <v>--</v>
          </cell>
          <cell r="AP324" t="str">
            <v>--</v>
          </cell>
          <cell r="AQ324" t="str">
            <v>--</v>
          </cell>
          <cell r="AR324" t="str">
            <v>--</v>
          </cell>
          <cell r="AS324" t="str">
            <v>--</v>
          </cell>
          <cell r="AT324" t="str">
            <v>--</v>
          </cell>
          <cell r="AU324" t="str">
            <v>--</v>
          </cell>
          <cell r="AV324" t="str">
            <v>--</v>
          </cell>
          <cell r="AW324" t="str">
            <v>--</v>
          </cell>
          <cell r="AX324" t="str">
            <v>--</v>
          </cell>
          <cell r="AY324" t="str">
            <v>--</v>
          </cell>
          <cell r="AZ324" t="str">
            <v>--</v>
          </cell>
          <cell r="BA324" t="str">
            <v>--</v>
          </cell>
          <cell r="BB324" t="str">
            <v>--</v>
          </cell>
          <cell r="BC324" t="str">
            <v>--</v>
          </cell>
          <cell r="BD324" t="str">
            <v>--</v>
          </cell>
          <cell r="BE324" t="str">
            <v>--</v>
          </cell>
          <cell r="BF324" t="str">
            <v>--</v>
          </cell>
          <cell r="BG324" t="str">
            <v>--</v>
          </cell>
          <cell r="BH324" t="str">
            <v>--</v>
          </cell>
          <cell r="BI324" t="str">
            <v>--</v>
          </cell>
          <cell r="BJ324" t="str">
            <v>--</v>
          </cell>
          <cell r="BK324" t="str">
            <v>--</v>
          </cell>
          <cell r="BL324" t="str">
            <v>--</v>
          </cell>
          <cell r="BM324" t="str">
            <v>--</v>
          </cell>
          <cell r="BN324" t="str">
            <v>--</v>
          </cell>
          <cell r="BO324" t="str">
            <v>--</v>
          </cell>
          <cell r="BP324" t="str">
            <v>--</v>
          </cell>
          <cell r="BQ324" t="str">
            <v>--</v>
          </cell>
          <cell r="BR324" t="str">
            <v>--</v>
          </cell>
          <cell r="BS324" t="str">
            <v>--</v>
          </cell>
          <cell r="BT324" t="str">
            <v>--</v>
          </cell>
          <cell r="BU324" t="str">
            <v>--</v>
          </cell>
          <cell r="BV324" t="str">
            <v>--</v>
          </cell>
          <cell r="BW324" t="str">
            <v>--</v>
          </cell>
          <cell r="BX324" t="str">
            <v>--</v>
          </cell>
          <cell r="BY324" t="str">
            <v>--</v>
          </cell>
          <cell r="BZ324" t="str">
            <v>--</v>
          </cell>
          <cell r="CA324" t="str">
            <v>--</v>
          </cell>
          <cell r="CB324" t="str">
            <v>--</v>
          </cell>
          <cell r="CC324" t="str">
            <v>--</v>
          </cell>
          <cell r="CD324" t="str">
            <v>--</v>
          </cell>
          <cell r="CE324" t="str">
            <v>--</v>
          </cell>
          <cell r="CF324" t="str">
            <v>--</v>
          </cell>
          <cell r="CG324" t="str">
            <v>--</v>
          </cell>
          <cell r="CH324" t="str">
            <v>--</v>
          </cell>
          <cell r="CI324" t="str">
            <v>--</v>
          </cell>
          <cell r="CJ324" t="str">
            <v>--</v>
          </cell>
          <cell r="CK324" t="str">
            <v>--</v>
          </cell>
          <cell r="CL324" t="str">
            <v>--</v>
          </cell>
          <cell r="CM324" t="str">
            <v>--</v>
          </cell>
          <cell r="CN324" t="str">
            <v>--</v>
          </cell>
          <cell r="CO324" t="str">
            <v>--</v>
          </cell>
          <cell r="CP324" t="str">
            <v>--</v>
          </cell>
          <cell r="CQ324" t="str">
            <v>--</v>
          </cell>
          <cell r="CR324" t="str">
            <v>--</v>
          </cell>
          <cell r="CS324" t="str">
            <v>--</v>
          </cell>
          <cell r="CT324" t="str">
            <v>--</v>
          </cell>
          <cell r="CU324" t="str">
            <v>--</v>
          </cell>
          <cell r="CV324" t="str">
            <v>--</v>
          </cell>
          <cell r="CW324" t="str">
            <v>--</v>
          </cell>
          <cell r="CX324" t="str">
            <v>--</v>
          </cell>
          <cell r="CY324" t="str">
            <v>--</v>
          </cell>
          <cell r="CZ324" t="str">
            <v>--</v>
          </cell>
          <cell r="DA324" t="str">
            <v>--</v>
          </cell>
          <cell r="DB324" t="str">
            <v>--</v>
          </cell>
          <cell r="DC324" t="str">
            <v>--</v>
          </cell>
          <cell r="DD324" t="str">
            <v>--</v>
          </cell>
          <cell r="DE324" t="str">
            <v>--</v>
          </cell>
          <cell r="DF324" t="str">
            <v>--</v>
          </cell>
          <cell r="DG324" t="str">
            <v>--</v>
          </cell>
          <cell r="DH324" t="str">
            <v>--</v>
          </cell>
          <cell r="DI324" t="str">
            <v>--</v>
          </cell>
          <cell r="DJ324" t="str">
            <v>--</v>
          </cell>
          <cell r="DK324" t="str">
            <v>--</v>
          </cell>
          <cell r="DL324" t="str">
            <v>--</v>
          </cell>
          <cell r="DM324" t="str">
            <v>--</v>
          </cell>
          <cell r="DN324" t="str">
            <v>--</v>
          </cell>
          <cell r="DO324" t="str">
            <v>--</v>
          </cell>
          <cell r="DP324" t="str">
            <v>--</v>
          </cell>
          <cell r="DQ324" t="str">
            <v>--</v>
          </cell>
          <cell r="DR324" t="str">
            <v>--</v>
          </cell>
          <cell r="DS324" t="str">
            <v>--</v>
          </cell>
          <cell r="DT324" t="str">
            <v>--</v>
          </cell>
          <cell r="DU324" t="str">
            <v>--</v>
          </cell>
          <cell r="DV324" t="str">
            <v>--</v>
          </cell>
          <cell r="DW324" t="str">
            <v>--</v>
          </cell>
          <cell r="DX324" t="str">
            <v>--</v>
          </cell>
          <cell r="DY324" t="str">
            <v>--</v>
          </cell>
          <cell r="DZ324" t="str">
            <v>--</v>
          </cell>
          <cell r="EA324" t="str">
            <v>--</v>
          </cell>
          <cell r="EB324" t="str">
            <v>--</v>
          </cell>
          <cell r="EC324" t="str">
            <v>--</v>
          </cell>
          <cell r="ED324" t="str">
            <v>--</v>
          </cell>
          <cell r="EE324" t="str">
            <v>--</v>
          </cell>
          <cell r="EF324" t="str">
            <v>--</v>
          </cell>
          <cell r="EG324" t="str">
            <v>--</v>
          </cell>
        </row>
        <row r="325">
          <cell r="A325" t="str">
            <v>02810190High needs</v>
          </cell>
          <cell r="B325" t="str">
            <v>02810190S</v>
          </cell>
          <cell r="C325" t="str">
            <v>0281</v>
          </cell>
          <cell r="D325" t="str">
            <v>02810190</v>
          </cell>
          <cell r="E325" t="str">
            <v>Springfield</v>
          </cell>
          <cell r="F325" t="str">
            <v>White Street</v>
          </cell>
          <cell r="G325" t="str">
            <v>ES</v>
          </cell>
          <cell r="H325" t="str">
            <v>Springfield - White Street (02810190)</v>
          </cell>
          <cell r="I325" t="str">
            <v>High needs</v>
          </cell>
          <cell r="J325" t="str">
            <v>02810190High needs</v>
          </cell>
          <cell r="K325" t="str">
            <v>Level 4</v>
          </cell>
          <cell r="L325">
            <v>59.1</v>
          </cell>
          <cell r="M325">
            <v>62.5</v>
          </cell>
          <cell r="N325">
            <v>56.3</v>
          </cell>
          <cell r="O325">
            <v>65.900000000000006</v>
          </cell>
          <cell r="P325">
            <v>54.4</v>
          </cell>
          <cell r="Q325">
            <v>70.599999999999994</v>
          </cell>
          <cell r="R325">
            <v>74</v>
          </cell>
          <cell r="S325">
            <v>77.400000000000006</v>
          </cell>
          <cell r="T325">
            <v>80.900000000000006</v>
          </cell>
          <cell r="U325">
            <v>62.1</v>
          </cell>
          <cell r="V325">
            <v>65.3</v>
          </cell>
          <cell r="W325">
            <v>58.1</v>
          </cell>
          <cell r="X325">
            <v>68.400000000000006</v>
          </cell>
          <cell r="Y325">
            <v>62</v>
          </cell>
          <cell r="Z325">
            <v>72.900000000000006</v>
          </cell>
          <cell r="AA325">
            <v>76</v>
          </cell>
          <cell r="AB325">
            <v>79.2</v>
          </cell>
          <cell r="AC325">
            <v>82.4</v>
          </cell>
          <cell r="AD325">
            <v>52.6</v>
          </cell>
          <cell r="AE325">
            <v>56.6</v>
          </cell>
          <cell r="AF325">
            <v>53</v>
          </cell>
          <cell r="AG325">
            <v>60.5</v>
          </cell>
          <cell r="AH325">
            <v>47.9</v>
          </cell>
          <cell r="AI325">
            <v>65.8</v>
          </cell>
          <cell r="AJ325">
            <v>69.7</v>
          </cell>
          <cell r="AK325">
            <v>73.7</v>
          </cell>
          <cell r="AL325">
            <v>77.599999999999994</v>
          </cell>
          <cell r="AM325" t="str">
            <v>--</v>
          </cell>
          <cell r="AN325" t="str">
            <v>--</v>
          </cell>
          <cell r="AO325" t="str">
            <v>--</v>
          </cell>
          <cell r="AP325" t="str">
            <v>--</v>
          </cell>
          <cell r="AQ325" t="str">
            <v>--</v>
          </cell>
          <cell r="AR325" t="str">
            <v>--</v>
          </cell>
          <cell r="AS325" t="str">
            <v>--</v>
          </cell>
          <cell r="AT325" t="str">
            <v>--</v>
          </cell>
          <cell r="AU325" t="str">
            <v>--</v>
          </cell>
          <cell r="AV325" t="str">
            <v>--</v>
          </cell>
          <cell r="AW325" t="str">
            <v>--</v>
          </cell>
          <cell r="AX325" t="str">
            <v>--</v>
          </cell>
          <cell r="AY325" t="str">
            <v>--</v>
          </cell>
          <cell r="AZ325" t="str">
            <v>--</v>
          </cell>
          <cell r="BA325" t="str">
            <v>--</v>
          </cell>
          <cell r="BB325" t="str">
            <v>--</v>
          </cell>
          <cell r="BC325" t="str">
            <v>--</v>
          </cell>
          <cell r="BD325" t="str">
            <v>--</v>
          </cell>
          <cell r="BE325" t="str">
            <v>--</v>
          </cell>
          <cell r="BF325" t="str">
            <v>--</v>
          </cell>
          <cell r="BG325" t="str">
            <v>--</v>
          </cell>
          <cell r="BH325" t="str">
            <v>--</v>
          </cell>
          <cell r="BI325" t="str">
            <v>--</v>
          </cell>
          <cell r="BJ325" t="str">
            <v>--</v>
          </cell>
          <cell r="BK325" t="str">
            <v>--</v>
          </cell>
          <cell r="BL325" t="str">
            <v>--</v>
          </cell>
          <cell r="BM325" t="str">
            <v>--</v>
          </cell>
          <cell r="BN325">
            <v>43.5</v>
          </cell>
          <cell r="BO325">
            <v>51</v>
          </cell>
          <cell r="BP325">
            <v>33</v>
          </cell>
          <cell r="BQ325">
            <v>43</v>
          </cell>
          <cell r="BR325">
            <v>26</v>
          </cell>
          <cell r="BS325">
            <v>40.5</v>
          </cell>
          <cell r="BT325">
            <v>55</v>
          </cell>
          <cell r="BU325">
            <v>60</v>
          </cell>
          <cell r="BV325">
            <v>60</v>
          </cell>
          <cell r="BW325">
            <v>48</v>
          </cell>
          <cell r="BX325">
            <v>51</v>
          </cell>
          <cell r="BY325">
            <v>45</v>
          </cell>
          <cell r="BZ325">
            <v>51</v>
          </cell>
          <cell r="CA325">
            <v>53</v>
          </cell>
          <cell r="CB325">
            <v>60</v>
          </cell>
          <cell r="CC325">
            <v>60</v>
          </cell>
          <cell r="CD325">
            <v>60</v>
          </cell>
          <cell r="CE325">
            <v>60</v>
          </cell>
          <cell r="CF325">
            <v>28.9</v>
          </cell>
          <cell r="CG325">
            <v>26</v>
          </cell>
          <cell r="CH325">
            <v>34.200000000000003</v>
          </cell>
          <cell r="CI325">
            <v>30.8</v>
          </cell>
          <cell r="CJ325">
            <v>37.799999999999997</v>
          </cell>
          <cell r="CK325">
            <v>34</v>
          </cell>
          <cell r="CL325">
            <v>30.6</v>
          </cell>
          <cell r="CM325">
            <v>27.6</v>
          </cell>
          <cell r="CN325">
            <v>24.8</v>
          </cell>
          <cell r="CO325">
            <v>24.6</v>
          </cell>
          <cell r="CP325">
            <v>22.1</v>
          </cell>
          <cell r="CQ325">
            <v>32.5</v>
          </cell>
          <cell r="CR325">
            <v>29.3</v>
          </cell>
          <cell r="CS325">
            <v>30.5</v>
          </cell>
          <cell r="CT325">
            <v>27.5</v>
          </cell>
          <cell r="CU325">
            <v>24.7</v>
          </cell>
          <cell r="CV325">
            <v>22.2</v>
          </cell>
          <cell r="CW325">
            <v>20</v>
          </cell>
          <cell r="CX325">
            <v>40.799999999999997</v>
          </cell>
          <cell r="CY325">
            <v>36.700000000000003</v>
          </cell>
          <cell r="CZ325">
            <v>36</v>
          </cell>
          <cell r="DA325">
            <v>32.4</v>
          </cell>
          <cell r="DB325">
            <v>41.7</v>
          </cell>
          <cell r="DC325">
            <v>37.5</v>
          </cell>
          <cell r="DD325">
            <v>33.799999999999997</v>
          </cell>
          <cell r="DE325">
            <v>30.4</v>
          </cell>
          <cell r="DF325">
            <v>27.4</v>
          </cell>
          <cell r="DG325">
            <v>0.7</v>
          </cell>
          <cell r="DH325">
            <v>0.8</v>
          </cell>
          <cell r="DI325">
            <v>1.3</v>
          </cell>
          <cell r="DJ325">
            <v>1.4</v>
          </cell>
          <cell r="DK325">
            <v>2.4</v>
          </cell>
          <cell r="DL325">
            <v>2.6</v>
          </cell>
          <cell r="DM325">
            <v>2.9</v>
          </cell>
          <cell r="DN325">
            <v>3.2</v>
          </cell>
          <cell r="DO325">
            <v>3.5</v>
          </cell>
          <cell r="DP325">
            <v>2.2000000000000002</v>
          </cell>
          <cell r="DQ325">
            <v>2.4</v>
          </cell>
          <cell r="DR325">
            <v>5.0999999999999996</v>
          </cell>
          <cell r="DS325">
            <v>5.6</v>
          </cell>
          <cell r="DT325">
            <v>6.7</v>
          </cell>
          <cell r="DU325">
            <v>7.4</v>
          </cell>
          <cell r="DV325">
            <v>8.1</v>
          </cell>
          <cell r="DW325">
            <v>8.9</v>
          </cell>
          <cell r="DX325">
            <v>9.8000000000000007</v>
          </cell>
          <cell r="DY325">
            <v>2</v>
          </cell>
          <cell r="DZ325">
            <v>2.2000000000000002</v>
          </cell>
          <cell r="EA325">
            <v>2</v>
          </cell>
          <cell r="EB325">
            <v>2.2000000000000002</v>
          </cell>
          <cell r="EC325">
            <v>0</v>
          </cell>
          <cell r="ED325">
            <v>1</v>
          </cell>
          <cell r="EE325">
            <v>1.1000000000000001</v>
          </cell>
          <cell r="EF325">
            <v>1.2</v>
          </cell>
          <cell r="EG325">
            <v>1.3</v>
          </cell>
        </row>
        <row r="326">
          <cell r="A326" t="str">
            <v>02810190All students</v>
          </cell>
          <cell r="B326" t="str">
            <v>02810190T</v>
          </cell>
          <cell r="C326" t="str">
            <v>0281</v>
          </cell>
          <cell r="D326" t="str">
            <v>02810190</v>
          </cell>
          <cell r="E326" t="str">
            <v>Springfield</v>
          </cell>
          <cell r="F326" t="str">
            <v>White Street</v>
          </cell>
          <cell r="G326" t="str">
            <v>ES</v>
          </cell>
          <cell r="H326" t="str">
            <v>Springfield - White Street (02810190)</v>
          </cell>
          <cell r="I326" t="str">
            <v>All students</v>
          </cell>
          <cell r="J326" t="str">
            <v>02810190All students</v>
          </cell>
          <cell r="K326" t="str">
            <v>Level 4</v>
          </cell>
          <cell r="L326">
            <v>59.7</v>
          </cell>
          <cell r="M326">
            <v>63.1</v>
          </cell>
          <cell r="N326">
            <v>56.9</v>
          </cell>
          <cell r="O326">
            <v>66.400000000000006</v>
          </cell>
          <cell r="P326">
            <v>54.4</v>
          </cell>
          <cell r="Q326">
            <v>71.099999999999994</v>
          </cell>
          <cell r="R326">
            <v>74.400000000000006</v>
          </cell>
          <cell r="S326">
            <v>77.8</v>
          </cell>
          <cell r="T326">
            <v>81.2</v>
          </cell>
          <cell r="U326">
            <v>62.5</v>
          </cell>
          <cell r="V326">
            <v>65.599999999999994</v>
          </cell>
          <cell r="W326">
            <v>58.6</v>
          </cell>
          <cell r="X326">
            <v>68.8</v>
          </cell>
          <cell r="Y326">
            <v>62</v>
          </cell>
          <cell r="Z326">
            <v>73.2</v>
          </cell>
          <cell r="AA326">
            <v>76.3</v>
          </cell>
          <cell r="AB326">
            <v>79.400000000000006</v>
          </cell>
          <cell r="AC326">
            <v>82.6</v>
          </cell>
          <cell r="AD326">
            <v>52.5</v>
          </cell>
          <cell r="AE326">
            <v>56.5</v>
          </cell>
          <cell r="AF326">
            <v>53.8</v>
          </cell>
          <cell r="AG326">
            <v>60.4</v>
          </cell>
          <cell r="AH326">
            <v>48</v>
          </cell>
          <cell r="AI326">
            <v>65.7</v>
          </cell>
          <cell r="AJ326">
            <v>69.599999999999994</v>
          </cell>
          <cell r="AK326">
            <v>73.599999999999994</v>
          </cell>
          <cell r="AL326">
            <v>77.599999999999994</v>
          </cell>
          <cell r="AM326" t="str">
            <v>--</v>
          </cell>
          <cell r="AN326" t="str">
            <v>--</v>
          </cell>
          <cell r="AO326" t="str">
            <v>--</v>
          </cell>
          <cell r="AP326" t="str">
            <v>--</v>
          </cell>
          <cell r="AQ326" t="str">
            <v>--</v>
          </cell>
          <cell r="AR326" t="str">
            <v>--</v>
          </cell>
          <cell r="AS326" t="str">
            <v>--</v>
          </cell>
          <cell r="AT326" t="str">
            <v>--</v>
          </cell>
          <cell r="AU326" t="str">
            <v>--</v>
          </cell>
          <cell r="AV326" t="str">
            <v>--</v>
          </cell>
          <cell r="AW326" t="str">
            <v>--</v>
          </cell>
          <cell r="AX326" t="str">
            <v>--</v>
          </cell>
          <cell r="AY326" t="str">
            <v>--</v>
          </cell>
          <cell r="AZ326" t="str">
            <v>--</v>
          </cell>
          <cell r="BA326" t="str">
            <v>--</v>
          </cell>
          <cell r="BB326" t="str">
            <v>--</v>
          </cell>
          <cell r="BC326" t="str">
            <v>--</v>
          </cell>
          <cell r="BD326" t="str">
            <v>--</v>
          </cell>
          <cell r="BE326" t="str">
            <v>--</v>
          </cell>
          <cell r="BF326" t="str">
            <v>--</v>
          </cell>
          <cell r="BG326" t="str">
            <v>--</v>
          </cell>
          <cell r="BH326" t="str">
            <v>--</v>
          </cell>
          <cell r="BI326" t="str">
            <v>--</v>
          </cell>
          <cell r="BJ326" t="str">
            <v>--</v>
          </cell>
          <cell r="BK326" t="str">
            <v>--</v>
          </cell>
          <cell r="BL326" t="str">
            <v>--</v>
          </cell>
          <cell r="BM326" t="str">
            <v>--</v>
          </cell>
          <cell r="BN326">
            <v>45</v>
          </cell>
          <cell r="BO326">
            <v>51</v>
          </cell>
          <cell r="BP326">
            <v>33</v>
          </cell>
          <cell r="BQ326">
            <v>43</v>
          </cell>
          <cell r="BR326">
            <v>27</v>
          </cell>
          <cell r="BS326">
            <v>41.5</v>
          </cell>
          <cell r="BT326">
            <v>56</v>
          </cell>
          <cell r="BU326">
            <v>60</v>
          </cell>
          <cell r="BV326">
            <v>60</v>
          </cell>
          <cell r="BW326">
            <v>48</v>
          </cell>
          <cell r="BX326">
            <v>51</v>
          </cell>
          <cell r="BY326">
            <v>43</v>
          </cell>
          <cell r="BZ326">
            <v>51</v>
          </cell>
          <cell r="CA326">
            <v>53</v>
          </cell>
          <cell r="CB326">
            <v>60</v>
          </cell>
          <cell r="CC326">
            <v>60</v>
          </cell>
          <cell r="CD326">
            <v>60</v>
          </cell>
          <cell r="CE326">
            <v>60</v>
          </cell>
          <cell r="CF326">
            <v>28.8</v>
          </cell>
          <cell r="CG326">
            <v>25.9</v>
          </cell>
          <cell r="CH326">
            <v>33.299999999999997</v>
          </cell>
          <cell r="CI326">
            <v>30</v>
          </cell>
          <cell r="CJ326">
            <v>37.6</v>
          </cell>
          <cell r="CK326">
            <v>33.799999999999997</v>
          </cell>
          <cell r="CL326">
            <v>30.5</v>
          </cell>
          <cell r="CM326">
            <v>27.4</v>
          </cell>
          <cell r="CN326">
            <v>24.7</v>
          </cell>
          <cell r="CO326">
            <v>24.6</v>
          </cell>
          <cell r="CP326">
            <v>22.1</v>
          </cell>
          <cell r="CQ326">
            <v>31.9</v>
          </cell>
          <cell r="CR326">
            <v>28.7</v>
          </cell>
          <cell r="CS326">
            <v>30.3</v>
          </cell>
          <cell r="CT326">
            <v>27.3</v>
          </cell>
          <cell r="CU326">
            <v>24.5</v>
          </cell>
          <cell r="CV326">
            <v>22.1</v>
          </cell>
          <cell r="CW326">
            <v>19.899999999999999</v>
          </cell>
          <cell r="CX326">
            <v>41.2</v>
          </cell>
          <cell r="CY326">
            <v>37.1</v>
          </cell>
          <cell r="CZ326">
            <v>34.6</v>
          </cell>
          <cell r="DA326">
            <v>31.1</v>
          </cell>
          <cell r="DB326">
            <v>40.799999999999997</v>
          </cell>
          <cell r="DC326">
            <v>36.700000000000003</v>
          </cell>
          <cell r="DD326">
            <v>33</v>
          </cell>
          <cell r="DE326">
            <v>29.7</v>
          </cell>
          <cell r="DF326">
            <v>26.8</v>
          </cell>
          <cell r="DG326">
            <v>1.4</v>
          </cell>
          <cell r="DH326">
            <v>1.5</v>
          </cell>
          <cell r="DI326">
            <v>1.2</v>
          </cell>
          <cell r="DJ326">
            <v>1.3</v>
          </cell>
          <cell r="DK326">
            <v>2.4</v>
          </cell>
          <cell r="DL326">
            <v>2.6</v>
          </cell>
          <cell r="DM326">
            <v>2.9</v>
          </cell>
          <cell r="DN326">
            <v>3.2</v>
          </cell>
          <cell r="DO326">
            <v>3.5</v>
          </cell>
          <cell r="DP326">
            <v>2.2000000000000002</v>
          </cell>
          <cell r="DQ326">
            <v>2.4</v>
          </cell>
          <cell r="DR326">
            <v>5</v>
          </cell>
          <cell r="DS326">
            <v>5.5</v>
          </cell>
          <cell r="DT326">
            <v>6.7</v>
          </cell>
          <cell r="DU326">
            <v>7.4</v>
          </cell>
          <cell r="DV326">
            <v>8.1</v>
          </cell>
          <cell r="DW326">
            <v>8.9</v>
          </cell>
          <cell r="DX326">
            <v>9.8000000000000007</v>
          </cell>
          <cell r="DY326">
            <v>2</v>
          </cell>
          <cell r="DZ326">
            <v>2.2000000000000002</v>
          </cell>
          <cell r="EA326">
            <v>1.9</v>
          </cell>
          <cell r="EB326">
            <v>2.1</v>
          </cell>
          <cell r="EC326">
            <v>0</v>
          </cell>
          <cell r="ED326">
            <v>1</v>
          </cell>
          <cell r="EE326">
            <v>1.1000000000000001</v>
          </cell>
          <cell r="EF326">
            <v>1.2</v>
          </cell>
          <cell r="EG326">
            <v>1.3</v>
          </cell>
        </row>
        <row r="327">
          <cell r="A327" t="str">
            <v>02810310Asian</v>
          </cell>
          <cell r="B327" t="str">
            <v>02810310A</v>
          </cell>
          <cell r="C327" t="str">
            <v>0281</v>
          </cell>
          <cell r="D327" t="str">
            <v>02810310</v>
          </cell>
          <cell r="E327" t="str">
            <v>Springfield</v>
          </cell>
          <cell r="F327" t="str">
            <v>Chestnut Street Middle</v>
          </cell>
          <cell r="G327" t="str">
            <v>MS</v>
          </cell>
          <cell r="H327" t="str">
            <v>Springfield - Chestnut Street Middle (02810310)</v>
          </cell>
          <cell r="I327" t="str">
            <v>Asian</v>
          </cell>
          <cell r="J327" t="str">
            <v>02810310Asian</v>
          </cell>
          <cell r="K327" t="str">
            <v>--</v>
          </cell>
          <cell r="L327" t="str">
            <v>--</v>
          </cell>
          <cell r="M327" t="str">
            <v>--</v>
          </cell>
          <cell r="N327" t="str">
            <v>--</v>
          </cell>
          <cell r="O327" t="str">
            <v>--</v>
          </cell>
          <cell r="P327" t="str">
            <v>--</v>
          </cell>
          <cell r="Q327" t="str">
            <v>--</v>
          </cell>
          <cell r="R327" t="str">
            <v>--</v>
          </cell>
          <cell r="S327" t="str">
            <v>--</v>
          </cell>
          <cell r="T327" t="str">
            <v>--</v>
          </cell>
          <cell r="U327" t="str">
            <v>--</v>
          </cell>
          <cell r="V327" t="str">
            <v>--</v>
          </cell>
          <cell r="W327" t="str">
            <v>--</v>
          </cell>
          <cell r="X327" t="str">
            <v>--</v>
          </cell>
          <cell r="Y327" t="str">
            <v>--</v>
          </cell>
          <cell r="Z327" t="str">
            <v>--</v>
          </cell>
          <cell r="AA327" t="str">
            <v>--</v>
          </cell>
          <cell r="AB327" t="str">
            <v>--</v>
          </cell>
          <cell r="AC327" t="str">
            <v>--</v>
          </cell>
          <cell r="AD327" t="str">
            <v>--</v>
          </cell>
          <cell r="AE327" t="str">
            <v>--</v>
          </cell>
          <cell r="AF327" t="str">
            <v>--</v>
          </cell>
          <cell r="AG327" t="str">
            <v>--</v>
          </cell>
          <cell r="AH327" t="str">
            <v>--</v>
          </cell>
          <cell r="AI327" t="str">
            <v>--</v>
          </cell>
          <cell r="AJ327" t="str">
            <v>--</v>
          </cell>
          <cell r="AK327" t="str">
            <v>--</v>
          </cell>
          <cell r="AL327" t="str">
            <v>--</v>
          </cell>
          <cell r="AM327" t="str">
            <v>--</v>
          </cell>
          <cell r="AN327" t="str">
            <v>--</v>
          </cell>
          <cell r="AO327" t="str">
            <v>--</v>
          </cell>
          <cell r="AP327" t="str">
            <v>--</v>
          </cell>
          <cell r="AQ327" t="str">
            <v>--</v>
          </cell>
          <cell r="AR327" t="str">
            <v>--</v>
          </cell>
          <cell r="AS327" t="str">
            <v>--</v>
          </cell>
          <cell r="AT327" t="str">
            <v>--</v>
          </cell>
          <cell r="AU327" t="str">
            <v>--</v>
          </cell>
          <cell r="AV327" t="str">
            <v>--</v>
          </cell>
          <cell r="AW327" t="str">
            <v>--</v>
          </cell>
          <cell r="AX327" t="str">
            <v>--</v>
          </cell>
          <cell r="AY327" t="str">
            <v>--</v>
          </cell>
          <cell r="AZ327" t="str">
            <v>--</v>
          </cell>
          <cell r="BA327" t="str">
            <v>--</v>
          </cell>
          <cell r="BB327" t="str">
            <v>--</v>
          </cell>
          <cell r="BC327" t="str">
            <v>--</v>
          </cell>
          <cell r="BD327" t="str">
            <v>--</v>
          </cell>
          <cell r="BE327" t="str">
            <v>--</v>
          </cell>
          <cell r="BF327" t="str">
            <v>--</v>
          </cell>
          <cell r="BG327" t="str">
            <v>--</v>
          </cell>
          <cell r="BH327" t="str">
            <v>--</v>
          </cell>
          <cell r="BI327" t="str">
            <v>--</v>
          </cell>
          <cell r="BJ327" t="str">
            <v>--</v>
          </cell>
          <cell r="BK327" t="str">
            <v>--</v>
          </cell>
          <cell r="BL327" t="str">
            <v>--</v>
          </cell>
          <cell r="BM327" t="str">
            <v>--</v>
          </cell>
          <cell r="BN327" t="str">
            <v>--</v>
          </cell>
          <cell r="BO327" t="str">
            <v>--</v>
          </cell>
          <cell r="BP327" t="str">
            <v>--</v>
          </cell>
          <cell r="BQ327" t="str">
            <v>--</v>
          </cell>
          <cell r="BR327" t="str">
            <v>--</v>
          </cell>
          <cell r="BS327" t="str">
            <v>--</v>
          </cell>
          <cell r="BT327" t="str">
            <v>--</v>
          </cell>
          <cell r="BU327" t="str">
            <v>--</v>
          </cell>
          <cell r="BV327" t="str">
            <v>--</v>
          </cell>
          <cell r="BW327" t="str">
            <v>--</v>
          </cell>
          <cell r="BX327" t="str">
            <v>--</v>
          </cell>
          <cell r="BY327" t="str">
            <v>--</v>
          </cell>
          <cell r="BZ327" t="str">
            <v>--</v>
          </cell>
          <cell r="CA327" t="str">
            <v>--</v>
          </cell>
          <cell r="CB327" t="str">
            <v>--</v>
          </cell>
          <cell r="CC327" t="str">
            <v>--</v>
          </cell>
          <cell r="CD327" t="str">
            <v>--</v>
          </cell>
          <cell r="CE327" t="str">
            <v>--</v>
          </cell>
          <cell r="CF327" t="str">
            <v>--</v>
          </cell>
          <cell r="CG327" t="str">
            <v>--</v>
          </cell>
          <cell r="CH327" t="str">
            <v>--</v>
          </cell>
          <cell r="CI327" t="str">
            <v>--</v>
          </cell>
          <cell r="CJ327" t="str">
            <v>--</v>
          </cell>
          <cell r="CK327" t="str">
            <v>--</v>
          </cell>
          <cell r="CL327" t="str">
            <v>--</v>
          </cell>
          <cell r="CM327" t="str">
            <v>--</v>
          </cell>
          <cell r="CN327" t="str">
            <v>--</v>
          </cell>
          <cell r="CO327" t="str">
            <v>--</v>
          </cell>
          <cell r="CP327" t="str">
            <v>--</v>
          </cell>
          <cell r="CQ327" t="str">
            <v>--</v>
          </cell>
          <cell r="CR327" t="str">
            <v>--</v>
          </cell>
          <cell r="CS327" t="str">
            <v>--</v>
          </cell>
          <cell r="CT327" t="str">
            <v>--</v>
          </cell>
          <cell r="CU327" t="str">
            <v>--</v>
          </cell>
          <cell r="CV327" t="str">
            <v>--</v>
          </cell>
          <cell r="CW327" t="str">
            <v>--</v>
          </cell>
          <cell r="CX327" t="str">
            <v>--</v>
          </cell>
          <cell r="CY327" t="str">
            <v>--</v>
          </cell>
          <cell r="CZ327" t="str">
            <v>--</v>
          </cell>
          <cell r="DA327" t="str">
            <v>--</v>
          </cell>
          <cell r="DB327" t="str">
            <v>--</v>
          </cell>
          <cell r="DC327" t="str">
            <v>--</v>
          </cell>
          <cell r="DD327" t="str">
            <v>--</v>
          </cell>
          <cell r="DE327" t="str">
            <v>--</v>
          </cell>
          <cell r="DF327" t="str">
            <v>--</v>
          </cell>
          <cell r="DG327" t="str">
            <v>--</v>
          </cell>
          <cell r="DH327" t="str">
            <v>--</v>
          </cell>
          <cell r="DI327" t="str">
            <v>--</v>
          </cell>
          <cell r="DJ327" t="str">
            <v>--</v>
          </cell>
          <cell r="DK327" t="str">
            <v>--</v>
          </cell>
          <cell r="DL327" t="str">
            <v>--</v>
          </cell>
          <cell r="DM327" t="str">
            <v>--</v>
          </cell>
          <cell r="DN327" t="str">
            <v>--</v>
          </cell>
          <cell r="DO327" t="str">
            <v>--</v>
          </cell>
          <cell r="DP327" t="str">
            <v>--</v>
          </cell>
          <cell r="DQ327" t="str">
            <v>--</v>
          </cell>
          <cell r="DR327" t="str">
            <v>--</v>
          </cell>
          <cell r="DS327" t="str">
            <v>--</v>
          </cell>
          <cell r="DT327" t="str">
            <v>--</v>
          </cell>
          <cell r="DU327" t="str">
            <v>--</v>
          </cell>
          <cell r="DV327" t="str">
            <v>--</v>
          </cell>
          <cell r="DW327" t="str">
            <v>--</v>
          </cell>
          <cell r="DX327" t="str">
            <v>--</v>
          </cell>
          <cell r="DY327" t="str">
            <v>--</v>
          </cell>
          <cell r="DZ327" t="str">
            <v>--</v>
          </cell>
          <cell r="EA327" t="str">
            <v>--</v>
          </cell>
          <cell r="EB327" t="str">
            <v>--</v>
          </cell>
          <cell r="EC327" t="str">
            <v>--</v>
          </cell>
          <cell r="ED327" t="str">
            <v>--</v>
          </cell>
          <cell r="EE327" t="str">
            <v>--</v>
          </cell>
          <cell r="EF327" t="str">
            <v>--</v>
          </cell>
          <cell r="EG327" t="str">
            <v>--</v>
          </cell>
        </row>
        <row r="328">
          <cell r="A328" t="str">
            <v>02810310Afr. Amer/Black</v>
          </cell>
          <cell r="B328" t="str">
            <v>02810310B</v>
          </cell>
          <cell r="C328" t="str">
            <v>0281</v>
          </cell>
          <cell r="D328" t="str">
            <v>02810310</v>
          </cell>
          <cell r="E328" t="str">
            <v>Springfield</v>
          </cell>
          <cell r="F328" t="str">
            <v>Chestnut Street Middle</v>
          </cell>
          <cell r="G328" t="str">
            <v>MS</v>
          </cell>
          <cell r="H328" t="str">
            <v>Springfield - Chestnut Street Middle (02810310)</v>
          </cell>
          <cell r="I328" t="str">
            <v>Afr. Amer/Black</v>
          </cell>
          <cell r="J328" t="str">
            <v>02810310Afr. Amer/Black</v>
          </cell>
          <cell r="K328" t="str">
            <v>--</v>
          </cell>
          <cell r="L328">
            <v>80.400000000000006</v>
          </cell>
          <cell r="M328">
            <v>82</v>
          </cell>
          <cell r="N328">
            <v>72.599999999999994</v>
          </cell>
          <cell r="O328">
            <v>83.7</v>
          </cell>
          <cell r="P328">
            <v>72.900000000000006</v>
          </cell>
          <cell r="Q328">
            <v>86.6</v>
          </cell>
          <cell r="R328">
            <v>88.2</v>
          </cell>
          <cell r="S328">
            <v>89.9</v>
          </cell>
          <cell r="T328">
            <v>91.5</v>
          </cell>
          <cell r="U328">
            <v>62.9</v>
          </cell>
          <cell r="V328">
            <v>66</v>
          </cell>
          <cell r="W328">
            <v>54</v>
          </cell>
          <cell r="X328">
            <v>69.099999999999994</v>
          </cell>
          <cell r="Y328">
            <v>50</v>
          </cell>
          <cell r="Z328">
            <v>73.5</v>
          </cell>
          <cell r="AA328">
            <v>76.599999999999994</v>
          </cell>
          <cell r="AB328">
            <v>79.7</v>
          </cell>
          <cell r="AC328">
            <v>82.8</v>
          </cell>
          <cell r="AD328">
            <v>49.3</v>
          </cell>
          <cell r="AE328">
            <v>53.5</v>
          </cell>
          <cell r="AF328">
            <v>47.4</v>
          </cell>
          <cell r="AG328">
            <v>57.8</v>
          </cell>
          <cell r="AH328">
            <v>52.6</v>
          </cell>
          <cell r="AI328">
            <v>63.3</v>
          </cell>
          <cell r="AJ328">
            <v>67.5</v>
          </cell>
          <cell r="AK328">
            <v>71.7</v>
          </cell>
          <cell r="AL328">
            <v>76</v>
          </cell>
          <cell r="AM328" t="str">
            <v>--</v>
          </cell>
          <cell r="AN328" t="str">
            <v>--</v>
          </cell>
          <cell r="AO328" t="str">
            <v>--</v>
          </cell>
          <cell r="AP328" t="str">
            <v>--</v>
          </cell>
          <cell r="AQ328" t="str">
            <v>--</v>
          </cell>
          <cell r="AR328" t="str">
            <v>--</v>
          </cell>
          <cell r="AS328" t="str">
            <v>--</v>
          </cell>
          <cell r="AT328" t="str">
            <v>--</v>
          </cell>
          <cell r="AU328" t="str">
            <v>--</v>
          </cell>
          <cell r="AV328" t="str">
            <v>--</v>
          </cell>
          <cell r="AW328" t="str">
            <v>--</v>
          </cell>
          <cell r="AX328" t="str">
            <v>--</v>
          </cell>
          <cell r="AY328" t="str">
            <v>--</v>
          </cell>
          <cell r="AZ328" t="str">
            <v>--</v>
          </cell>
          <cell r="BA328" t="str">
            <v>--</v>
          </cell>
          <cell r="BB328" t="str">
            <v>--</v>
          </cell>
          <cell r="BC328" t="str">
            <v>--</v>
          </cell>
          <cell r="BD328" t="str">
            <v>--</v>
          </cell>
          <cell r="BE328" t="str">
            <v>--</v>
          </cell>
          <cell r="BF328" t="str">
            <v>--</v>
          </cell>
          <cell r="BG328" t="str">
            <v>--</v>
          </cell>
          <cell r="BH328" t="str">
            <v>--</v>
          </cell>
          <cell r="BI328" t="str">
            <v>--</v>
          </cell>
          <cell r="BJ328" t="str">
            <v>--</v>
          </cell>
          <cell r="BK328" t="str">
            <v>--</v>
          </cell>
          <cell r="BL328" t="str">
            <v>--</v>
          </cell>
          <cell r="BM328" t="str">
            <v>--</v>
          </cell>
          <cell r="BN328">
            <v>28.5</v>
          </cell>
          <cell r="BO328">
            <v>38.5</v>
          </cell>
          <cell r="BP328">
            <v>37.5</v>
          </cell>
          <cell r="BQ328">
            <v>47.5</v>
          </cell>
          <cell r="BR328">
            <v>26</v>
          </cell>
          <cell r="BS328">
            <v>40.5</v>
          </cell>
          <cell r="BT328">
            <v>55</v>
          </cell>
          <cell r="BU328">
            <v>60</v>
          </cell>
          <cell r="BV328">
            <v>60</v>
          </cell>
          <cell r="BW328">
            <v>29</v>
          </cell>
          <cell r="BX328">
            <v>39</v>
          </cell>
          <cell r="BY328">
            <v>30</v>
          </cell>
          <cell r="BZ328">
            <v>40</v>
          </cell>
          <cell r="CA328">
            <v>18</v>
          </cell>
          <cell r="CB328">
            <v>32.5</v>
          </cell>
          <cell r="CC328">
            <v>47</v>
          </cell>
          <cell r="CD328">
            <v>60</v>
          </cell>
          <cell r="CE328">
            <v>60</v>
          </cell>
          <cell r="CF328">
            <v>12.3</v>
          </cell>
          <cell r="CG328">
            <v>11.1</v>
          </cell>
          <cell r="CH328">
            <v>16.899999999999999</v>
          </cell>
          <cell r="CI328">
            <v>15.2</v>
          </cell>
          <cell r="CJ328">
            <v>23.7</v>
          </cell>
          <cell r="CK328">
            <v>21.3</v>
          </cell>
          <cell r="CL328">
            <v>19.2</v>
          </cell>
          <cell r="CM328">
            <v>17.3</v>
          </cell>
          <cell r="CN328">
            <v>15.5</v>
          </cell>
          <cell r="CO328">
            <v>33.6</v>
          </cell>
          <cell r="CP328">
            <v>30.2</v>
          </cell>
          <cell r="CQ328">
            <v>46.8</v>
          </cell>
          <cell r="CR328">
            <v>42.1</v>
          </cell>
          <cell r="CS328">
            <v>51.3</v>
          </cell>
          <cell r="CT328">
            <v>46.2</v>
          </cell>
          <cell r="CU328">
            <v>41.6</v>
          </cell>
          <cell r="CV328">
            <v>37.4</v>
          </cell>
          <cell r="CW328">
            <v>33.700000000000003</v>
          </cell>
          <cell r="CX328">
            <v>44.1</v>
          </cell>
          <cell r="CY328">
            <v>39.700000000000003</v>
          </cell>
          <cell r="CZ328">
            <v>56.4</v>
          </cell>
          <cell r="DA328">
            <v>50.8</v>
          </cell>
          <cell r="DB328">
            <v>39.5</v>
          </cell>
          <cell r="DC328">
            <v>35.6</v>
          </cell>
          <cell r="DD328">
            <v>32</v>
          </cell>
          <cell r="DE328">
            <v>28.8</v>
          </cell>
          <cell r="DF328">
            <v>25.9</v>
          </cell>
          <cell r="DG328">
            <v>3.8</v>
          </cell>
          <cell r="DH328">
            <v>4.2</v>
          </cell>
          <cell r="DI328">
            <v>7.3</v>
          </cell>
          <cell r="DJ328">
            <v>8</v>
          </cell>
          <cell r="DK328">
            <v>2.5</v>
          </cell>
          <cell r="DL328">
            <v>2.8</v>
          </cell>
          <cell r="DM328">
            <v>3</v>
          </cell>
          <cell r="DN328">
            <v>3.3</v>
          </cell>
          <cell r="DO328">
            <v>3.7</v>
          </cell>
          <cell r="DP328">
            <v>8.4</v>
          </cell>
          <cell r="DQ328">
            <v>9.1999999999999993</v>
          </cell>
          <cell r="DR328">
            <v>8.1</v>
          </cell>
          <cell r="DS328">
            <v>8.9</v>
          </cell>
          <cell r="DT328">
            <v>2.5</v>
          </cell>
          <cell r="DU328">
            <v>2.8</v>
          </cell>
          <cell r="DV328">
            <v>3</v>
          </cell>
          <cell r="DW328">
            <v>3.3</v>
          </cell>
          <cell r="DX328">
            <v>3.7</v>
          </cell>
          <cell r="DY328">
            <v>0</v>
          </cell>
          <cell r="DZ328">
            <v>1</v>
          </cell>
          <cell r="EA328">
            <v>0</v>
          </cell>
          <cell r="EB328">
            <v>1</v>
          </cell>
          <cell r="EC328">
            <v>5.3</v>
          </cell>
          <cell r="ED328">
            <v>5.8</v>
          </cell>
          <cell r="EE328">
            <v>6.4</v>
          </cell>
          <cell r="EF328">
            <v>7.1</v>
          </cell>
          <cell r="EG328">
            <v>7.8</v>
          </cell>
        </row>
        <row r="329">
          <cell r="A329" t="str">
            <v>02810310White</v>
          </cell>
          <cell r="B329" t="str">
            <v>02810310C</v>
          </cell>
          <cell r="C329" t="str">
            <v>0281</v>
          </cell>
          <cell r="D329" t="str">
            <v>02810310</v>
          </cell>
          <cell r="E329" t="str">
            <v>Springfield</v>
          </cell>
          <cell r="F329" t="str">
            <v>Chestnut Street Middle</v>
          </cell>
          <cell r="G329" t="str">
            <v>MS</v>
          </cell>
          <cell r="H329" t="str">
            <v>Springfield - Chestnut Street Middle (02810310)</v>
          </cell>
          <cell r="I329" t="str">
            <v>White</v>
          </cell>
          <cell r="J329" t="str">
            <v>02810310White</v>
          </cell>
          <cell r="K329" t="str">
            <v>--</v>
          </cell>
          <cell r="L329">
            <v>77.7</v>
          </cell>
          <cell r="M329">
            <v>79.599999999999994</v>
          </cell>
          <cell r="N329">
            <v>81.7</v>
          </cell>
          <cell r="O329">
            <v>81.400000000000006</v>
          </cell>
          <cell r="P329">
            <v>70.099999999999994</v>
          </cell>
          <cell r="Q329">
            <v>84.6</v>
          </cell>
          <cell r="R329">
            <v>86.4</v>
          </cell>
          <cell r="S329">
            <v>88.3</v>
          </cell>
          <cell r="T329">
            <v>90.2</v>
          </cell>
          <cell r="U329">
            <v>66.099999999999994</v>
          </cell>
          <cell r="V329">
            <v>68.900000000000006</v>
          </cell>
          <cell r="W329">
            <v>68.7</v>
          </cell>
          <cell r="X329">
            <v>71.8</v>
          </cell>
          <cell r="Y329">
            <v>66.3</v>
          </cell>
          <cell r="Z329">
            <v>75.900000000000006</v>
          </cell>
          <cell r="AA329">
            <v>78.7</v>
          </cell>
          <cell r="AB329">
            <v>81.5</v>
          </cell>
          <cell r="AC329">
            <v>84.4</v>
          </cell>
          <cell r="AD329">
            <v>53.6</v>
          </cell>
          <cell r="AE329">
            <v>57.5</v>
          </cell>
          <cell r="AF329">
            <v>63.6</v>
          </cell>
          <cell r="AG329">
            <v>61.3</v>
          </cell>
          <cell r="AH329">
            <v>53.1</v>
          </cell>
          <cell r="AI329">
            <v>66.5</v>
          </cell>
          <cell r="AJ329">
            <v>70.400000000000006</v>
          </cell>
          <cell r="AK329">
            <v>74.2</v>
          </cell>
          <cell r="AL329">
            <v>78.099999999999994</v>
          </cell>
          <cell r="AM329" t="str">
            <v>--</v>
          </cell>
          <cell r="AN329" t="str">
            <v>--</v>
          </cell>
          <cell r="AO329" t="str">
            <v>--</v>
          </cell>
          <cell r="AP329" t="str">
            <v>--</v>
          </cell>
          <cell r="AQ329" t="str">
            <v>--</v>
          </cell>
          <cell r="AR329" t="str">
            <v>--</v>
          </cell>
          <cell r="AS329" t="str">
            <v>--</v>
          </cell>
          <cell r="AT329" t="str">
            <v>--</v>
          </cell>
          <cell r="AU329" t="str">
            <v>--</v>
          </cell>
          <cell r="AV329" t="str">
            <v>--</v>
          </cell>
          <cell r="AW329" t="str">
            <v>--</v>
          </cell>
          <cell r="AX329" t="str">
            <v>--</v>
          </cell>
          <cell r="AY329" t="str">
            <v>--</v>
          </cell>
          <cell r="AZ329" t="str">
            <v>--</v>
          </cell>
          <cell r="BA329" t="str">
            <v>--</v>
          </cell>
          <cell r="BB329" t="str">
            <v>--</v>
          </cell>
          <cell r="BC329" t="str">
            <v>--</v>
          </cell>
          <cell r="BD329" t="str">
            <v>--</v>
          </cell>
          <cell r="BE329" t="str">
            <v>--</v>
          </cell>
          <cell r="BF329" t="str">
            <v>--</v>
          </cell>
          <cell r="BG329" t="str">
            <v>--</v>
          </cell>
          <cell r="BH329" t="str">
            <v>--</v>
          </cell>
          <cell r="BI329" t="str">
            <v>--</v>
          </cell>
          <cell r="BJ329" t="str">
            <v>--</v>
          </cell>
          <cell r="BK329" t="str">
            <v>--</v>
          </cell>
          <cell r="BL329" t="str">
            <v>--</v>
          </cell>
          <cell r="BM329" t="str">
            <v>--</v>
          </cell>
          <cell r="BN329">
            <v>31</v>
          </cell>
          <cell r="BO329">
            <v>41</v>
          </cell>
          <cell r="BP329">
            <v>48</v>
          </cell>
          <cell r="BQ329">
            <v>51</v>
          </cell>
          <cell r="BR329">
            <v>19.5</v>
          </cell>
          <cell r="BS329">
            <v>34</v>
          </cell>
          <cell r="BT329">
            <v>48.5</v>
          </cell>
          <cell r="BU329">
            <v>60</v>
          </cell>
          <cell r="BV329">
            <v>60</v>
          </cell>
          <cell r="BW329">
            <v>32</v>
          </cell>
          <cell r="BX329">
            <v>42</v>
          </cell>
          <cell r="BY329">
            <v>34</v>
          </cell>
          <cell r="BZ329">
            <v>44</v>
          </cell>
          <cell r="CA329">
            <v>19</v>
          </cell>
          <cell r="CB329">
            <v>33.5</v>
          </cell>
          <cell r="CC329">
            <v>48</v>
          </cell>
          <cell r="CD329">
            <v>60</v>
          </cell>
          <cell r="CE329">
            <v>60</v>
          </cell>
          <cell r="CF329">
            <v>19.600000000000001</v>
          </cell>
          <cell r="CG329">
            <v>17.600000000000001</v>
          </cell>
          <cell r="CH329">
            <v>12.7</v>
          </cell>
          <cell r="CI329">
            <v>11.4</v>
          </cell>
          <cell r="CJ329">
            <v>21.1</v>
          </cell>
          <cell r="CK329">
            <v>19</v>
          </cell>
          <cell r="CL329">
            <v>17.100000000000001</v>
          </cell>
          <cell r="CM329">
            <v>15.4</v>
          </cell>
          <cell r="CN329">
            <v>13.8</v>
          </cell>
          <cell r="CO329">
            <v>33.9</v>
          </cell>
          <cell r="CP329">
            <v>30.5</v>
          </cell>
          <cell r="CQ329">
            <v>33.299999999999997</v>
          </cell>
          <cell r="CR329">
            <v>30</v>
          </cell>
          <cell r="CS329">
            <v>33.299999999999997</v>
          </cell>
          <cell r="CT329">
            <v>30</v>
          </cell>
          <cell r="CU329">
            <v>27</v>
          </cell>
          <cell r="CV329">
            <v>24.3</v>
          </cell>
          <cell r="CW329">
            <v>21.8</v>
          </cell>
          <cell r="CX329">
            <v>33.299999999999997</v>
          </cell>
          <cell r="CY329">
            <v>30</v>
          </cell>
          <cell r="CZ329">
            <v>27.3</v>
          </cell>
          <cell r="DA329">
            <v>24.6</v>
          </cell>
          <cell r="DB329">
            <v>37.5</v>
          </cell>
          <cell r="DC329">
            <v>24.6</v>
          </cell>
          <cell r="DD329">
            <v>22.1</v>
          </cell>
          <cell r="DE329">
            <v>19.899999999999999</v>
          </cell>
          <cell r="DF329">
            <v>17.899999999999999</v>
          </cell>
          <cell r="DG329">
            <v>10.7</v>
          </cell>
          <cell r="DH329">
            <v>11.8</v>
          </cell>
          <cell r="DI329">
            <v>20.6</v>
          </cell>
          <cell r="DJ329">
            <v>22.7</v>
          </cell>
          <cell r="DK329">
            <v>7.9</v>
          </cell>
          <cell r="DL329">
            <v>8.6999999999999993</v>
          </cell>
          <cell r="DM329">
            <v>9.6</v>
          </cell>
          <cell r="DN329">
            <v>10.5</v>
          </cell>
          <cell r="DO329">
            <v>11.6</v>
          </cell>
          <cell r="DP329">
            <v>16.100000000000001</v>
          </cell>
          <cell r="DQ329">
            <v>17.7</v>
          </cell>
          <cell r="DR329">
            <v>23.8</v>
          </cell>
          <cell r="DS329">
            <v>26.2</v>
          </cell>
          <cell r="DT329">
            <v>13.3</v>
          </cell>
          <cell r="DU329">
            <v>14.6</v>
          </cell>
          <cell r="DV329">
            <v>16.100000000000001</v>
          </cell>
          <cell r="DW329">
            <v>17.7</v>
          </cell>
          <cell r="DX329">
            <v>19.5</v>
          </cell>
          <cell r="DY329">
            <v>0</v>
          </cell>
          <cell r="DZ329">
            <v>1</v>
          </cell>
          <cell r="EA329">
            <v>0</v>
          </cell>
          <cell r="EB329">
            <v>1</v>
          </cell>
          <cell r="EC329">
            <v>12.5</v>
          </cell>
          <cell r="ED329">
            <v>1</v>
          </cell>
          <cell r="EE329">
            <v>1.1000000000000001</v>
          </cell>
          <cell r="EF329">
            <v>1.2</v>
          </cell>
          <cell r="EG329">
            <v>1.3</v>
          </cell>
        </row>
        <row r="330">
          <cell r="A330" t="str">
            <v>02810310Students w/disabilities</v>
          </cell>
          <cell r="B330" t="str">
            <v>02810310D</v>
          </cell>
          <cell r="C330" t="str">
            <v>0281</v>
          </cell>
          <cell r="D330" t="str">
            <v>02810310</v>
          </cell>
          <cell r="E330" t="str">
            <v>Springfield</v>
          </cell>
          <cell r="F330" t="str">
            <v>Chestnut Street Middle</v>
          </cell>
          <cell r="G330" t="str">
            <v>MS</v>
          </cell>
          <cell r="H330" t="str">
            <v>Springfield - Chestnut Street Middle (02810310)</v>
          </cell>
          <cell r="I330" t="str">
            <v>Students w/disabilities</v>
          </cell>
          <cell r="J330" t="str">
            <v>02810310Students w/disabilities</v>
          </cell>
          <cell r="K330" t="str">
            <v>--</v>
          </cell>
          <cell r="L330">
            <v>45.2</v>
          </cell>
          <cell r="M330">
            <v>49.8</v>
          </cell>
          <cell r="N330">
            <v>48.1</v>
          </cell>
          <cell r="O330">
            <v>54.3</v>
          </cell>
          <cell r="P330">
            <v>44.5</v>
          </cell>
          <cell r="Q330">
            <v>60.2</v>
          </cell>
          <cell r="R330">
            <v>64.8</v>
          </cell>
          <cell r="S330">
            <v>69.3</v>
          </cell>
          <cell r="T330">
            <v>73.900000000000006</v>
          </cell>
          <cell r="U330">
            <v>33</v>
          </cell>
          <cell r="V330">
            <v>38.6</v>
          </cell>
          <cell r="W330">
            <v>37</v>
          </cell>
          <cell r="X330">
            <v>44.2</v>
          </cell>
          <cell r="Y330">
            <v>29.7</v>
          </cell>
          <cell r="Z330">
            <v>51.1</v>
          </cell>
          <cell r="AA330">
            <v>56.6</v>
          </cell>
          <cell r="AB330">
            <v>62.2</v>
          </cell>
          <cell r="AC330">
            <v>67.8</v>
          </cell>
          <cell r="AD330">
            <v>36.299999999999997</v>
          </cell>
          <cell r="AE330">
            <v>41.6</v>
          </cell>
          <cell r="AF330">
            <v>33.6</v>
          </cell>
          <cell r="AG330">
            <v>46.9</v>
          </cell>
          <cell r="AH330">
            <v>32.299999999999997</v>
          </cell>
          <cell r="AI330">
            <v>53.5</v>
          </cell>
          <cell r="AJ330">
            <v>58.8</v>
          </cell>
          <cell r="AK330">
            <v>64.099999999999994</v>
          </cell>
          <cell r="AL330">
            <v>69.5</v>
          </cell>
          <cell r="AM330" t="str">
            <v>--</v>
          </cell>
          <cell r="AN330" t="str">
            <v>--</v>
          </cell>
          <cell r="AO330" t="str">
            <v>--</v>
          </cell>
          <cell r="AP330" t="str">
            <v>--</v>
          </cell>
          <cell r="AQ330" t="str">
            <v>--</v>
          </cell>
          <cell r="AR330" t="str">
            <v>--</v>
          </cell>
          <cell r="AS330" t="str">
            <v>--</v>
          </cell>
          <cell r="AT330" t="str">
            <v>--</v>
          </cell>
          <cell r="AU330" t="str">
            <v>--</v>
          </cell>
          <cell r="AV330" t="str">
            <v>--</v>
          </cell>
          <cell r="AW330" t="str">
            <v>--</v>
          </cell>
          <cell r="AX330" t="str">
            <v>--</v>
          </cell>
          <cell r="AY330" t="str">
            <v>--</v>
          </cell>
          <cell r="AZ330" t="str">
            <v>--</v>
          </cell>
          <cell r="BA330" t="str">
            <v>--</v>
          </cell>
          <cell r="BB330" t="str">
            <v>--</v>
          </cell>
          <cell r="BC330" t="str">
            <v>--</v>
          </cell>
          <cell r="BD330" t="str">
            <v>--</v>
          </cell>
          <cell r="BE330" t="str">
            <v>--</v>
          </cell>
          <cell r="BF330" t="str">
            <v>--</v>
          </cell>
          <cell r="BG330" t="str">
            <v>--</v>
          </cell>
          <cell r="BH330" t="str">
            <v>--</v>
          </cell>
          <cell r="BI330" t="str">
            <v>--</v>
          </cell>
          <cell r="BJ330" t="str">
            <v>--</v>
          </cell>
          <cell r="BK330" t="str">
            <v>--</v>
          </cell>
          <cell r="BL330" t="str">
            <v>--</v>
          </cell>
          <cell r="BM330" t="str">
            <v>--</v>
          </cell>
          <cell r="BN330">
            <v>24</v>
          </cell>
          <cell r="BO330">
            <v>34</v>
          </cell>
          <cell r="BP330">
            <v>29</v>
          </cell>
          <cell r="BQ330">
            <v>39</v>
          </cell>
          <cell r="BR330">
            <v>21.5</v>
          </cell>
          <cell r="BS330">
            <v>36</v>
          </cell>
          <cell r="BT330">
            <v>50.5</v>
          </cell>
          <cell r="BU330">
            <v>60</v>
          </cell>
          <cell r="BV330">
            <v>60</v>
          </cell>
          <cell r="BW330">
            <v>31</v>
          </cell>
          <cell r="BX330">
            <v>41</v>
          </cell>
          <cell r="BY330">
            <v>30</v>
          </cell>
          <cell r="BZ330">
            <v>40</v>
          </cell>
          <cell r="CA330">
            <v>22</v>
          </cell>
          <cell r="CB330">
            <v>36.5</v>
          </cell>
          <cell r="CC330">
            <v>51</v>
          </cell>
          <cell r="CD330">
            <v>60</v>
          </cell>
          <cell r="CE330">
            <v>60</v>
          </cell>
          <cell r="CF330">
            <v>53.5</v>
          </cell>
          <cell r="CG330">
            <v>48.2</v>
          </cell>
          <cell r="CH330">
            <v>54.1</v>
          </cell>
          <cell r="CI330">
            <v>48.7</v>
          </cell>
          <cell r="CJ330">
            <v>57.5</v>
          </cell>
          <cell r="CK330">
            <v>51.8</v>
          </cell>
          <cell r="CL330">
            <v>46.6</v>
          </cell>
          <cell r="CM330">
            <v>41.9</v>
          </cell>
          <cell r="CN330">
            <v>37.700000000000003</v>
          </cell>
          <cell r="CO330">
            <v>79.3</v>
          </cell>
          <cell r="CP330">
            <v>71.400000000000006</v>
          </cell>
          <cell r="CQ330">
            <v>72</v>
          </cell>
          <cell r="CR330">
            <v>64.8</v>
          </cell>
          <cell r="CS330">
            <v>84</v>
          </cell>
          <cell r="CT330">
            <v>75.599999999999994</v>
          </cell>
          <cell r="CU330">
            <v>68</v>
          </cell>
          <cell r="CV330">
            <v>61.2</v>
          </cell>
          <cell r="CW330">
            <v>55.1</v>
          </cell>
          <cell r="CX330">
            <v>72.5</v>
          </cell>
          <cell r="CY330">
            <v>65.3</v>
          </cell>
          <cell r="CZ330">
            <v>78.599999999999994</v>
          </cell>
          <cell r="DA330">
            <v>70.7</v>
          </cell>
          <cell r="DB330">
            <v>80</v>
          </cell>
          <cell r="DC330">
            <v>72</v>
          </cell>
          <cell r="DD330">
            <v>64.8</v>
          </cell>
          <cell r="DE330">
            <v>58.3</v>
          </cell>
          <cell r="DF330">
            <v>52.5</v>
          </cell>
          <cell r="DG330">
            <v>0</v>
          </cell>
          <cell r="DH330">
            <v>1</v>
          </cell>
          <cell r="DI330">
            <v>0</v>
          </cell>
          <cell r="DJ330">
            <v>1</v>
          </cell>
          <cell r="DK330">
            <v>0</v>
          </cell>
          <cell r="DL330">
            <v>1</v>
          </cell>
          <cell r="DM330">
            <v>1.1000000000000001</v>
          </cell>
          <cell r="DN330">
            <v>1.2</v>
          </cell>
          <cell r="DO330">
            <v>1.3</v>
          </cell>
          <cell r="DP330">
            <v>0</v>
          </cell>
          <cell r="DQ330">
            <v>1</v>
          </cell>
          <cell r="DR330">
            <v>0</v>
          </cell>
          <cell r="DS330">
            <v>1</v>
          </cell>
          <cell r="DT330">
            <v>0</v>
          </cell>
          <cell r="DU330">
            <v>1</v>
          </cell>
          <cell r="DV330">
            <v>1.1000000000000001</v>
          </cell>
          <cell r="DW330">
            <v>1.2</v>
          </cell>
          <cell r="DX330">
            <v>1.3</v>
          </cell>
          <cell r="DY330">
            <v>0</v>
          </cell>
          <cell r="DZ330">
            <v>1</v>
          </cell>
          <cell r="EA330">
            <v>0</v>
          </cell>
          <cell r="EB330">
            <v>1</v>
          </cell>
          <cell r="EC330">
            <v>0</v>
          </cell>
          <cell r="ED330">
            <v>1</v>
          </cell>
          <cell r="EE330">
            <v>1.1000000000000001</v>
          </cell>
          <cell r="EF330">
            <v>1.2</v>
          </cell>
          <cell r="EG330">
            <v>1.3</v>
          </cell>
        </row>
        <row r="331">
          <cell r="A331" t="str">
            <v>02810310Low income</v>
          </cell>
          <cell r="B331" t="str">
            <v>02810310F</v>
          </cell>
          <cell r="C331" t="str">
            <v>0281</v>
          </cell>
          <cell r="D331" t="str">
            <v>02810310</v>
          </cell>
          <cell r="E331" t="str">
            <v>Springfield</v>
          </cell>
          <cell r="F331" t="str">
            <v>Chestnut Street Middle</v>
          </cell>
          <cell r="G331" t="str">
            <v>MS</v>
          </cell>
          <cell r="H331" t="str">
            <v>Springfield - Chestnut Street Middle (02810310)</v>
          </cell>
          <cell r="I331" t="str">
            <v>Low income</v>
          </cell>
          <cell r="J331" t="str">
            <v>02810310Low income</v>
          </cell>
          <cell r="K331" t="str">
            <v>--</v>
          </cell>
          <cell r="L331">
            <v>64.099999999999994</v>
          </cell>
          <cell r="M331">
            <v>67.099999999999994</v>
          </cell>
          <cell r="N331">
            <v>63.3</v>
          </cell>
          <cell r="O331">
            <v>70.099999999999994</v>
          </cell>
          <cell r="P331">
            <v>59.8</v>
          </cell>
          <cell r="Q331">
            <v>74.400000000000006</v>
          </cell>
          <cell r="R331">
            <v>77.400000000000006</v>
          </cell>
          <cell r="S331">
            <v>80.400000000000006</v>
          </cell>
          <cell r="T331">
            <v>83.4</v>
          </cell>
          <cell r="U331">
            <v>45.1</v>
          </cell>
          <cell r="V331">
            <v>49.7</v>
          </cell>
          <cell r="W331">
            <v>45.8</v>
          </cell>
          <cell r="X331">
            <v>54.3</v>
          </cell>
          <cell r="Y331">
            <v>40.4</v>
          </cell>
          <cell r="Z331">
            <v>60.1</v>
          </cell>
          <cell r="AA331">
            <v>64.7</v>
          </cell>
          <cell r="AB331">
            <v>69.3</v>
          </cell>
          <cell r="AC331">
            <v>73.900000000000006</v>
          </cell>
          <cell r="AD331">
            <v>39.5</v>
          </cell>
          <cell r="AE331">
            <v>44.5</v>
          </cell>
          <cell r="AF331">
            <v>39.299999999999997</v>
          </cell>
          <cell r="AG331">
            <v>49.6</v>
          </cell>
          <cell r="AH331">
            <v>39.4</v>
          </cell>
          <cell r="AI331">
            <v>55.9</v>
          </cell>
          <cell r="AJ331">
            <v>61</v>
          </cell>
          <cell r="AK331">
            <v>66</v>
          </cell>
          <cell r="AL331">
            <v>71.099999999999994</v>
          </cell>
          <cell r="AM331" t="str">
            <v>--</v>
          </cell>
          <cell r="AN331" t="str">
            <v>--</v>
          </cell>
          <cell r="AO331" t="str">
            <v>--</v>
          </cell>
          <cell r="AP331" t="str">
            <v>--</v>
          </cell>
          <cell r="AQ331" t="str">
            <v>--</v>
          </cell>
          <cell r="AR331" t="str">
            <v>--</v>
          </cell>
          <cell r="AS331" t="str">
            <v>--</v>
          </cell>
          <cell r="AT331" t="str">
            <v>--</v>
          </cell>
          <cell r="AU331" t="str">
            <v>--</v>
          </cell>
          <cell r="AV331" t="str">
            <v>--</v>
          </cell>
          <cell r="AW331" t="str">
            <v>--</v>
          </cell>
          <cell r="AX331" t="str">
            <v>--</v>
          </cell>
          <cell r="AY331" t="str">
            <v>--</v>
          </cell>
          <cell r="AZ331" t="str">
            <v>--</v>
          </cell>
          <cell r="BA331" t="str">
            <v>--</v>
          </cell>
          <cell r="BB331" t="str">
            <v>--</v>
          </cell>
          <cell r="BC331" t="str">
            <v>--</v>
          </cell>
          <cell r="BD331" t="str">
            <v>--</v>
          </cell>
          <cell r="BE331" t="str">
            <v>--</v>
          </cell>
          <cell r="BF331" t="str">
            <v>--</v>
          </cell>
          <cell r="BG331" t="str">
            <v>--</v>
          </cell>
          <cell r="BH331" t="str">
            <v>--</v>
          </cell>
          <cell r="BI331" t="str">
            <v>--</v>
          </cell>
          <cell r="BJ331" t="str">
            <v>--</v>
          </cell>
          <cell r="BK331" t="str">
            <v>--</v>
          </cell>
          <cell r="BL331" t="str">
            <v>--</v>
          </cell>
          <cell r="BM331" t="str">
            <v>--</v>
          </cell>
          <cell r="BN331">
            <v>33</v>
          </cell>
          <cell r="BO331">
            <v>43</v>
          </cell>
          <cell r="BP331">
            <v>35</v>
          </cell>
          <cell r="BQ331">
            <v>45</v>
          </cell>
          <cell r="BR331">
            <v>23</v>
          </cell>
          <cell r="BS331">
            <v>37.5</v>
          </cell>
          <cell r="BT331">
            <v>52</v>
          </cell>
          <cell r="BU331">
            <v>60</v>
          </cell>
          <cell r="BV331">
            <v>60</v>
          </cell>
          <cell r="BW331">
            <v>31</v>
          </cell>
          <cell r="BX331">
            <v>41</v>
          </cell>
          <cell r="BY331">
            <v>27</v>
          </cell>
          <cell r="BZ331">
            <v>37</v>
          </cell>
          <cell r="CA331">
            <v>18</v>
          </cell>
          <cell r="CB331">
            <v>32.5</v>
          </cell>
          <cell r="CC331">
            <v>47</v>
          </cell>
          <cell r="CD331">
            <v>60</v>
          </cell>
          <cell r="CE331">
            <v>60</v>
          </cell>
          <cell r="CF331">
            <v>28.9</v>
          </cell>
          <cell r="CG331">
            <v>26</v>
          </cell>
          <cell r="CH331">
            <v>30.6</v>
          </cell>
          <cell r="CI331">
            <v>27.5</v>
          </cell>
          <cell r="CJ331">
            <v>37.299999999999997</v>
          </cell>
          <cell r="CK331">
            <v>33.6</v>
          </cell>
          <cell r="CL331">
            <v>30.2</v>
          </cell>
          <cell r="CM331">
            <v>27.2</v>
          </cell>
          <cell r="CN331">
            <v>24.5</v>
          </cell>
          <cell r="CO331">
            <v>58.6</v>
          </cell>
          <cell r="CP331">
            <v>52.7</v>
          </cell>
          <cell r="CQ331">
            <v>57</v>
          </cell>
          <cell r="CR331">
            <v>51.3</v>
          </cell>
          <cell r="CS331">
            <v>66.400000000000006</v>
          </cell>
          <cell r="CT331">
            <v>59.8</v>
          </cell>
          <cell r="CU331">
            <v>53.8</v>
          </cell>
          <cell r="CV331">
            <v>48.4</v>
          </cell>
          <cell r="CW331">
            <v>43.6</v>
          </cell>
          <cell r="CX331">
            <v>60.4</v>
          </cell>
          <cell r="CY331">
            <v>54.4</v>
          </cell>
          <cell r="CZ331">
            <v>64.099999999999994</v>
          </cell>
          <cell r="DA331">
            <v>57.7</v>
          </cell>
          <cell r="DB331">
            <v>63.9</v>
          </cell>
          <cell r="DC331">
            <v>57.5</v>
          </cell>
          <cell r="DD331">
            <v>51.8</v>
          </cell>
          <cell r="DE331">
            <v>46.6</v>
          </cell>
          <cell r="DF331">
            <v>41.9</v>
          </cell>
          <cell r="DG331">
            <v>2.1</v>
          </cell>
          <cell r="DH331">
            <v>2.2999999999999998</v>
          </cell>
          <cell r="DI331">
            <v>3.5</v>
          </cell>
          <cell r="DJ331">
            <v>3.9</v>
          </cell>
          <cell r="DK331">
            <v>2</v>
          </cell>
          <cell r="DL331">
            <v>2.2000000000000002</v>
          </cell>
          <cell r="DM331">
            <v>2.4</v>
          </cell>
          <cell r="DN331">
            <v>2.7</v>
          </cell>
          <cell r="DO331">
            <v>2.9</v>
          </cell>
          <cell r="DP331">
            <v>3.7</v>
          </cell>
          <cell r="DQ331">
            <v>4.0999999999999996</v>
          </cell>
          <cell r="DR331">
            <v>5.4</v>
          </cell>
          <cell r="DS331">
            <v>5.9</v>
          </cell>
          <cell r="DT331">
            <v>4.3</v>
          </cell>
          <cell r="DU331">
            <v>4.7</v>
          </cell>
          <cell r="DV331">
            <v>5.2</v>
          </cell>
          <cell r="DW331">
            <v>5.7</v>
          </cell>
          <cell r="DX331">
            <v>6.3</v>
          </cell>
          <cell r="DY331">
            <v>0</v>
          </cell>
          <cell r="DZ331">
            <v>1</v>
          </cell>
          <cell r="EA331">
            <v>0</v>
          </cell>
          <cell r="EB331">
            <v>1</v>
          </cell>
          <cell r="EC331">
            <v>1.3</v>
          </cell>
          <cell r="ED331">
            <v>1.4</v>
          </cell>
          <cell r="EE331">
            <v>1.6</v>
          </cell>
          <cell r="EF331">
            <v>1.7</v>
          </cell>
          <cell r="EG331">
            <v>1.9</v>
          </cell>
        </row>
        <row r="332">
          <cell r="A332" t="str">
            <v>02810310Hispanic/Latino</v>
          </cell>
          <cell r="B332" t="str">
            <v>02810310H</v>
          </cell>
          <cell r="C332" t="str">
            <v>0281</v>
          </cell>
          <cell r="D332" t="str">
            <v>02810310</v>
          </cell>
          <cell r="E332" t="str">
            <v>Springfield</v>
          </cell>
          <cell r="F332" t="str">
            <v>Chestnut Street Middle</v>
          </cell>
          <cell r="G332" t="str">
            <v>MS</v>
          </cell>
          <cell r="H332" t="str">
            <v>Springfield - Chestnut Street Middle (02810310)</v>
          </cell>
          <cell r="I332" t="str">
            <v>Hispanic/Latino</v>
          </cell>
          <cell r="J332" t="str">
            <v>02810310Hispanic/Latino</v>
          </cell>
          <cell r="K332" t="str">
            <v>--</v>
          </cell>
          <cell r="L332">
            <v>61</v>
          </cell>
          <cell r="M332">
            <v>64.3</v>
          </cell>
          <cell r="N332">
            <v>60.3</v>
          </cell>
          <cell r="O332">
            <v>67.5</v>
          </cell>
          <cell r="P332">
            <v>55.9</v>
          </cell>
          <cell r="Q332">
            <v>72.099999999999994</v>
          </cell>
          <cell r="R332">
            <v>75.3</v>
          </cell>
          <cell r="S332">
            <v>78.599999999999994</v>
          </cell>
          <cell r="T332">
            <v>81.8</v>
          </cell>
          <cell r="U332">
            <v>40.700000000000003</v>
          </cell>
          <cell r="V332">
            <v>45.6</v>
          </cell>
          <cell r="W332">
            <v>42.7</v>
          </cell>
          <cell r="X332">
            <v>50.6</v>
          </cell>
          <cell r="Y332">
            <v>35.4</v>
          </cell>
          <cell r="Z332">
            <v>56.8</v>
          </cell>
          <cell r="AA332">
            <v>61.8</v>
          </cell>
          <cell r="AB332">
            <v>66.7</v>
          </cell>
          <cell r="AC332">
            <v>71.7</v>
          </cell>
          <cell r="AD332">
            <v>38.1</v>
          </cell>
          <cell r="AE332">
            <v>43.3</v>
          </cell>
          <cell r="AF332">
            <v>36.6</v>
          </cell>
          <cell r="AG332">
            <v>48.4</v>
          </cell>
          <cell r="AH332">
            <v>36.1</v>
          </cell>
          <cell r="AI332">
            <v>54.9</v>
          </cell>
          <cell r="AJ332">
            <v>60</v>
          </cell>
          <cell r="AK332">
            <v>65.2</v>
          </cell>
          <cell r="AL332">
            <v>70.400000000000006</v>
          </cell>
          <cell r="AM332" t="str">
            <v>--</v>
          </cell>
          <cell r="AN332" t="str">
            <v>--</v>
          </cell>
          <cell r="AO332" t="str">
            <v>--</v>
          </cell>
          <cell r="AP332" t="str">
            <v>--</v>
          </cell>
          <cell r="AQ332" t="str">
            <v>--</v>
          </cell>
          <cell r="AR332" t="str">
            <v>--</v>
          </cell>
          <cell r="AS332" t="str">
            <v>--</v>
          </cell>
          <cell r="AT332" t="str">
            <v>--</v>
          </cell>
          <cell r="AU332" t="str">
            <v>--</v>
          </cell>
          <cell r="AV332" t="str">
            <v>--</v>
          </cell>
          <cell r="AW332" t="str">
            <v>--</v>
          </cell>
          <cell r="AX332" t="str">
            <v>--</v>
          </cell>
          <cell r="AY332" t="str">
            <v>--</v>
          </cell>
          <cell r="AZ332" t="str">
            <v>--</v>
          </cell>
          <cell r="BA332" t="str">
            <v>--</v>
          </cell>
          <cell r="BB332" t="str">
            <v>--</v>
          </cell>
          <cell r="BC332" t="str">
            <v>--</v>
          </cell>
          <cell r="BD332" t="str">
            <v>--</v>
          </cell>
          <cell r="BE332" t="str">
            <v>--</v>
          </cell>
          <cell r="BF332" t="str">
            <v>--</v>
          </cell>
          <cell r="BG332" t="str">
            <v>--</v>
          </cell>
          <cell r="BH332" t="str">
            <v>--</v>
          </cell>
          <cell r="BI332" t="str">
            <v>--</v>
          </cell>
          <cell r="BJ332" t="str">
            <v>--</v>
          </cell>
          <cell r="BK332" t="str">
            <v>--</v>
          </cell>
          <cell r="BL332" t="str">
            <v>--</v>
          </cell>
          <cell r="BM332" t="str">
            <v>--</v>
          </cell>
          <cell r="BN332">
            <v>33</v>
          </cell>
          <cell r="BO332">
            <v>43</v>
          </cell>
          <cell r="BP332">
            <v>31</v>
          </cell>
          <cell r="BQ332">
            <v>41</v>
          </cell>
          <cell r="BR332">
            <v>23</v>
          </cell>
          <cell r="BS332">
            <v>37.5</v>
          </cell>
          <cell r="BT332">
            <v>52</v>
          </cell>
          <cell r="BU332">
            <v>60</v>
          </cell>
          <cell r="BV332">
            <v>60</v>
          </cell>
          <cell r="BW332">
            <v>30</v>
          </cell>
          <cell r="BX332">
            <v>40</v>
          </cell>
          <cell r="BY332">
            <v>26</v>
          </cell>
          <cell r="BZ332">
            <v>36</v>
          </cell>
          <cell r="CA332">
            <v>19</v>
          </cell>
          <cell r="CB332">
            <v>33.5</v>
          </cell>
          <cell r="CC332">
            <v>48</v>
          </cell>
          <cell r="CD332">
            <v>60</v>
          </cell>
          <cell r="CE332">
            <v>60</v>
          </cell>
          <cell r="CF332">
            <v>31.4</v>
          </cell>
          <cell r="CG332">
            <v>28.3</v>
          </cell>
          <cell r="CH332">
            <v>34.700000000000003</v>
          </cell>
          <cell r="CI332">
            <v>31.2</v>
          </cell>
          <cell r="CJ332">
            <v>42</v>
          </cell>
          <cell r="CK332">
            <v>37.799999999999997</v>
          </cell>
          <cell r="CL332">
            <v>34</v>
          </cell>
          <cell r="CM332">
            <v>30.6</v>
          </cell>
          <cell r="CN332">
            <v>27.6</v>
          </cell>
          <cell r="CO332">
            <v>63.8</v>
          </cell>
          <cell r="CP332">
            <v>57.4</v>
          </cell>
          <cell r="CQ332">
            <v>60.2</v>
          </cell>
          <cell r="CR332">
            <v>54.2</v>
          </cell>
          <cell r="CS332">
            <v>73.099999999999994</v>
          </cell>
          <cell r="CT332">
            <v>65.8</v>
          </cell>
          <cell r="CU332">
            <v>59.2</v>
          </cell>
          <cell r="CV332">
            <v>53.3</v>
          </cell>
          <cell r="CW332">
            <v>48</v>
          </cell>
          <cell r="CX332">
            <v>63.2</v>
          </cell>
          <cell r="CY332">
            <v>56.9</v>
          </cell>
          <cell r="CZ332">
            <v>68.3</v>
          </cell>
          <cell r="DA332">
            <v>61.5</v>
          </cell>
          <cell r="DB332">
            <v>68.900000000000006</v>
          </cell>
          <cell r="DC332">
            <v>62</v>
          </cell>
          <cell r="DD332">
            <v>55.8</v>
          </cell>
          <cell r="DE332">
            <v>50.2</v>
          </cell>
          <cell r="DF332">
            <v>45.2</v>
          </cell>
          <cell r="DG332">
            <v>1.3</v>
          </cell>
          <cell r="DH332">
            <v>1.4</v>
          </cell>
          <cell r="DI332">
            <v>2.1</v>
          </cell>
          <cell r="DJ332">
            <v>2.2999999999999998</v>
          </cell>
          <cell r="DK332">
            <v>1.1000000000000001</v>
          </cell>
          <cell r="DL332">
            <v>1.2</v>
          </cell>
          <cell r="DM332">
            <v>1.3</v>
          </cell>
          <cell r="DN332">
            <v>1.5</v>
          </cell>
          <cell r="DO332">
            <v>1.6</v>
          </cell>
          <cell r="DP332">
            <v>1.9</v>
          </cell>
          <cell r="DQ332">
            <v>2.1</v>
          </cell>
          <cell r="DR332">
            <v>3.3</v>
          </cell>
          <cell r="DS332">
            <v>3.6</v>
          </cell>
          <cell r="DT332">
            <v>2.9</v>
          </cell>
          <cell r="DU332">
            <v>3.2</v>
          </cell>
          <cell r="DV332">
            <v>3.5</v>
          </cell>
          <cell r="DW332">
            <v>3.9</v>
          </cell>
          <cell r="DX332">
            <v>4.2</v>
          </cell>
          <cell r="DY332">
            <v>0</v>
          </cell>
          <cell r="DZ332">
            <v>1</v>
          </cell>
          <cell r="EA332">
            <v>0</v>
          </cell>
          <cell r="EB332">
            <v>1</v>
          </cell>
          <cell r="EC332">
            <v>0</v>
          </cell>
          <cell r="ED332">
            <v>1</v>
          </cell>
          <cell r="EE332">
            <v>1.1000000000000001</v>
          </cell>
          <cell r="EF332">
            <v>1.2</v>
          </cell>
          <cell r="EG332">
            <v>1.3</v>
          </cell>
        </row>
        <row r="333">
          <cell r="A333" t="str">
            <v>02810310ELL and Former ELL</v>
          </cell>
          <cell r="B333" t="str">
            <v>02810310L</v>
          </cell>
          <cell r="C333" t="str">
            <v>0281</v>
          </cell>
          <cell r="D333" t="str">
            <v>02810310</v>
          </cell>
          <cell r="E333" t="str">
            <v>Springfield</v>
          </cell>
          <cell r="F333" t="str">
            <v>Chestnut Street Middle</v>
          </cell>
          <cell r="G333" t="str">
            <v>MS</v>
          </cell>
          <cell r="H333" t="str">
            <v>Springfield - Chestnut Street Middle (02810310)</v>
          </cell>
          <cell r="I333" t="str">
            <v>ELL and Former ELL</v>
          </cell>
          <cell r="J333" t="str">
            <v>02810310ELL and Former ELL</v>
          </cell>
          <cell r="K333" t="str">
            <v>--</v>
          </cell>
          <cell r="L333">
            <v>45</v>
          </cell>
          <cell r="M333">
            <v>49.6</v>
          </cell>
          <cell r="N333">
            <v>44.8</v>
          </cell>
          <cell r="O333">
            <v>54.2</v>
          </cell>
          <cell r="P333">
            <v>41.4</v>
          </cell>
          <cell r="Q333">
            <v>60.1</v>
          </cell>
          <cell r="R333">
            <v>64.599999999999994</v>
          </cell>
          <cell r="S333">
            <v>69.2</v>
          </cell>
          <cell r="T333">
            <v>73.8</v>
          </cell>
          <cell r="U333">
            <v>30.4</v>
          </cell>
          <cell r="V333">
            <v>36.200000000000003</v>
          </cell>
          <cell r="W333">
            <v>30.4</v>
          </cell>
          <cell r="X333">
            <v>42</v>
          </cell>
          <cell r="Y333">
            <v>27.4</v>
          </cell>
          <cell r="Z333">
            <v>49.1</v>
          </cell>
          <cell r="AA333">
            <v>54.9</v>
          </cell>
          <cell r="AB333">
            <v>60.7</v>
          </cell>
          <cell r="AC333">
            <v>66.5</v>
          </cell>
          <cell r="AD333">
            <v>26.3</v>
          </cell>
          <cell r="AE333">
            <v>32.4</v>
          </cell>
          <cell r="AF333">
            <v>29</v>
          </cell>
          <cell r="AG333">
            <v>38.6</v>
          </cell>
          <cell r="AH333">
            <v>27.7</v>
          </cell>
          <cell r="AI333">
            <v>46</v>
          </cell>
          <cell r="AJ333">
            <v>52.2</v>
          </cell>
          <cell r="AK333">
            <v>58.3</v>
          </cell>
          <cell r="AL333">
            <v>64.5</v>
          </cell>
          <cell r="AM333" t="str">
            <v>--</v>
          </cell>
          <cell r="AN333" t="str">
            <v>--</v>
          </cell>
          <cell r="AO333" t="str">
            <v>--</v>
          </cell>
          <cell r="AP333" t="str">
            <v>--</v>
          </cell>
          <cell r="AQ333" t="str">
            <v>--</v>
          </cell>
          <cell r="AR333" t="str">
            <v>--</v>
          </cell>
          <cell r="AS333" t="str">
            <v>--</v>
          </cell>
          <cell r="AT333" t="str">
            <v>--</v>
          </cell>
          <cell r="AU333" t="str">
            <v>--</v>
          </cell>
          <cell r="AV333" t="str">
            <v>--</v>
          </cell>
          <cell r="AW333" t="str">
            <v>--</v>
          </cell>
          <cell r="AX333" t="str">
            <v>--</v>
          </cell>
          <cell r="AY333" t="str">
            <v>--</v>
          </cell>
          <cell r="AZ333" t="str">
            <v>--</v>
          </cell>
          <cell r="BA333" t="str">
            <v>--</v>
          </cell>
          <cell r="BB333" t="str">
            <v>--</v>
          </cell>
          <cell r="BC333" t="str">
            <v>--</v>
          </cell>
          <cell r="BD333" t="str">
            <v>--</v>
          </cell>
          <cell r="BE333" t="str">
            <v>--</v>
          </cell>
          <cell r="BF333" t="str">
            <v>--</v>
          </cell>
          <cell r="BG333" t="str">
            <v>--</v>
          </cell>
          <cell r="BH333" t="str">
            <v>--</v>
          </cell>
          <cell r="BI333" t="str">
            <v>--</v>
          </cell>
          <cell r="BJ333" t="str">
            <v>--</v>
          </cell>
          <cell r="BK333" t="str">
            <v>--</v>
          </cell>
          <cell r="BL333" t="str">
            <v>--</v>
          </cell>
          <cell r="BM333" t="str">
            <v>--</v>
          </cell>
          <cell r="BN333">
            <v>37</v>
          </cell>
          <cell r="BO333">
            <v>47</v>
          </cell>
          <cell r="BP333">
            <v>28.5</v>
          </cell>
          <cell r="BQ333">
            <v>38.5</v>
          </cell>
          <cell r="BR333">
            <v>21</v>
          </cell>
          <cell r="BS333">
            <v>35.5</v>
          </cell>
          <cell r="BT333">
            <v>50</v>
          </cell>
          <cell r="BU333">
            <v>60</v>
          </cell>
          <cell r="BV333">
            <v>60</v>
          </cell>
          <cell r="BW333">
            <v>35</v>
          </cell>
          <cell r="BX333">
            <v>45</v>
          </cell>
          <cell r="BY333">
            <v>21.5</v>
          </cell>
          <cell r="BZ333">
            <v>31.5</v>
          </cell>
          <cell r="CA333">
            <v>18</v>
          </cell>
          <cell r="CB333">
            <v>32.5</v>
          </cell>
          <cell r="CC333">
            <v>47</v>
          </cell>
          <cell r="CD333">
            <v>60</v>
          </cell>
          <cell r="CE333">
            <v>60</v>
          </cell>
          <cell r="CF333">
            <v>54.6</v>
          </cell>
          <cell r="CG333">
            <v>49.1</v>
          </cell>
          <cell r="CH333">
            <v>53.9</v>
          </cell>
          <cell r="CI333">
            <v>48.5</v>
          </cell>
          <cell r="CJ333">
            <v>63.6</v>
          </cell>
          <cell r="CK333">
            <v>57.2</v>
          </cell>
          <cell r="CL333">
            <v>51.5</v>
          </cell>
          <cell r="CM333">
            <v>46.4</v>
          </cell>
          <cell r="CN333">
            <v>41.7</v>
          </cell>
          <cell r="CO333">
            <v>80.3</v>
          </cell>
          <cell r="CP333">
            <v>72.3</v>
          </cell>
          <cell r="CQ333">
            <v>80</v>
          </cell>
          <cell r="CR333">
            <v>72</v>
          </cell>
          <cell r="CS333">
            <v>83.3</v>
          </cell>
          <cell r="CT333">
            <v>75</v>
          </cell>
          <cell r="CU333">
            <v>67.5</v>
          </cell>
          <cell r="CV333">
            <v>60.7</v>
          </cell>
          <cell r="CW333">
            <v>54.7</v>
          </cell>
          <cell r="CX333">
            <v>81.400000000000006</v>
          </cell>
          <cell r="CY333">
            <v>73.3</v>
          </cell>
          <cell r="CZ333">
            <v>83.8</v>
          </cell>
          <cell r="DA333">
            <v>75.400000000000006</v>
          </cell>
          <cell r="DB333">
            <v>83.3</v>
          </cell>
          <cell r="DC333">
            <v>75</v>
          </cell>
          <cell r="DD333">
            <v>67.5</v>
          </cell>
          <cell r="DE333">
            <v>60.7</v>
          </cell>
          <cell r="DF333">
            <v>54.7</v>
          </cell>
          <cell r="DG333">
            <v>0</v>
          </cell>
          <cell r="DH333">
            <v>1</v>
          </cell>
          <cell r="DI333">
            <v>0.4</v>
          </cell>
          <cell r="DJ333">
            <v>0.4</v>
          </cell>
          <cell r="DK333">
            <v>0</v>
          </cell>
          <cell r="DL333">
            <v>1</v>
          </cell>
          <cell r="DM333">
            <v>1.1000000000000001</v>
          </cell>
          <cell r="DN333">
            <v>1.2</v>
          </cell>
          <cell r="DO333">
            <v>1.3</v>
          </cell>
          <cell r="DP333">
            <v>0</v>
          </cell>
          <cell r="DQ333">
            <v>1</v>
          </cell>
          <cell r="DR333">
            <v>1.3</v>
          </cell>
          <cell r="DS333">
            <v>1.4</v>
          </cell>
          <cell r="DT333">
            <v>0</v>
          </cell>
          <cell r="DU333">
            <v>1</v>
          </cell>
          <cell r="DV333">
            <v>1.1000000000000001</v>
          </cell>
          <cell r="DW333">
            <v>1.2</v>
          </cell>
          <cell r="DX333">
            <v>1.3</v>
          </cell>
          <cell r="DY333">
            <v>0</v>
          </cell>
          <cell r="DZ333">
            <v>1</v>
          </cell>
          <cell r="EA333">
            <v>0</v>
          </cell>
          <cell r="EB333">
            <v>1</v>
          </cell>
          <cell r="EC333">
            <v>0</v>
          </cell>
          <cell r="ED333">
            <v>1</v>
          </cell>
          <cell r="EE333">
            <v>1.1000000000000001</v>
          </cell>
          <cell r="EF333">
            <v>1.2</v>
          </cell>
          <cell r="EG333">
            <v>1.3</v>
          </cell>
        </row>
        <row r="334">
          <cell r="A334" t="str">
            <v>02810310Multi-race, Non-Hisp./Lat.</v>
          </cell>
          <cell r="B334" t="str">
            <v>02810310M</v>
          </cell>
          <cell r="C334" t="str">
            <v>0281</v>
          </cell>
          <cell r="D334" t="str">
            <v>02810310</v>
          </cell>
          <cell r="E334" t="str">
            <v>Springfield</v>
          </cell>
          <cell r="F334" t="str">
            <v>Chestnut Street Middle</v>
          </cell>
          <cell r="G334" t="str">
            <v>MS</v>
          </cell>
          <cell r="H334" t="str">
            <v>Springfield - Chestnut Street Middle (02810310)</v>
          </cell>
          <cell r="I334" t="str">
            <v>Multi-race, Non-Hisp./Lat.</v>
          </cell>
          <cell r="J334" t="str">
            <v>02810310Multi-race, Non-Hisp./Lat.</v>
          </cell>
          <cell r="K334" t="str">
            <v>Level 4</v>
          </cell>
          <cell r="L334">
            <v>79.3</v>
          </cell>
          <cell r="M334" t="str">
            <v>--</v>
          </cell>
          <cell r="N334">
            <v>86.8</v>
          </cell>
          <cell r="O334" t="str">
            <v>--</v>
          </cell>
          <cell r="P334">
            <v>79.3</v>
          </cell>
          <cell r="Q334">
            <v>81</v>
          </cell>
          <cell r="R334">
            <v>82.8</v>
          </cell>
          <cell r="S334">
            <v>84.5</v>
          </cell>
          <cell r="T334">
            <v>86.2</v>
          </cell>
          <cell r="U334">
            <v>71.7</v>
          </cell>
          <cell r="V334" t="str">
            <v>--</v>
          </cell>
          <cell r="W334">
            <v>76.3</v>
          </cell>
          <cell r="X334" t="str">
            <v>--</v>
          </cell>
          <cell r="Y334">
            <v>71.7</v>
          </cell>
          <cell r="Z334">
            <v>74.099999999999994</v>
          </cell>
          <cell r="AA334">
            <v>76.400000000000006</v>
          </cell>
          <cell r="AB334">
            <v>78.8</v>
          </cell>
          <cell r="AC334">
            <v>81.099999999999994</v>
          </cell>
          <cell r="AD334" t="str">
            <v>--</v>
          </cell>
          <cell r="AE334" t="str">
            <v>--</v>
          </cell>
          <cell r="AF334" t="str">
            <v>--</v>
          </cell>
          <cell r="AG334" t="str">
            <v>--</v>
          </cell>
          <cell r="AH334" t="str">
            <v>--</v>
          </cell>
          <cell r="AI334" t="str">
            <v>--</v>
          </cell>
          <cell r="AJ334" t="str">
            <v>--</v>
          </cell>
          <cell r="AK334" t="str">
            <v>--</v>
          </cell>
          <cell r="AL334" t="str">
            <v>--</v>
          </cell>
          <cell r="AM334" t="str">
            <v>--</v>
          </cell>
          <cell r="AN334" t="str">
            <v>--</v>
          </cell>
          <cell r="AO334" t="str">
            <v>--</v>
          </cell>
          <cell r="AP334" t="str">
            <v>--</v>
          </cell>
          <cell r="AQ334" t="str">
            <v>--</v>
          </cell>
          <cell r="AR334" t="str">
            <v>--</v>
          </cell>
          <cell r="AS334" t="str">
            <v>--</v>
          </cell>
          <cell r="AT334" t="str">
            <v>--</v>
          </cell>
          <cell r="AU334" t="str">
            <v>--</v>
          </cell>
          <cell r="AV334" t="str">
            <v>--</v>
          </cell>
          <cell r="AW334" t="str">
            <v>--</v>
          </cell>
          <cell r="AX334" t="str">
            <v>--</v>
          </cell>
          <cell r="AY334" t="str">
            <v>--</v>
          </cell>
          <cell r="AZ334" t="str">
            <v>--</v>
          </cell>
          <cell r="BA334" t="str">
            <v>--</v>
          </cell>
          <cell r="BB334" t="str">
            <v>--</v>
          </cell>
          <cell r="BC334" t="str">
            <v>--</v>
          </cell>
          <cell r="BD334" t="str">
            <v>--</v>
          </cell>
          <cell r="BE334" t="str">
            <v>--</v>
          </cell>
          <cell r="BF334" t="str">
            <v>--</v>
          </cell>
          <cell r="BG334" t="str">
            <v>--</v>
          </cell>
          <cell r="BH334" t="str">
            <v>--</v>
          </cell>
          <cell r="BI334" t="str">
            <v>--</v>
          </cell>
          <cell r="BJ334" t="str">
            <v>--</v>
          </cell>
          <cell r="BK334" t="str">
            <v>--</v>
          </cell>
          <cell r="BL334" t="str">
            <v>--</v>
          </cell>
          <cell r="BM334" t="str">
            <v>--</v>
          </cell>
          <cell r="BN334" t="str">
            <v>--</v>
          </cell>
          <cell r="BO334" t="str">
            <v>--</v>
          </cell>
          <cell r="BP334" t="str">
            <v>--</v>
          </cell>
          <cell r="BQ334" t="str">
            <v>--</v>
          </cell>
          <cell r="BR334" t="str">
            <v>--</v>
          </cell>
          <cell r="BS334" t="str">
            <v>--</v>
          </cell>
          <cell r="BT334" t="str">
            <v>--</v>
          </cell>
          <cell r="BU334" t="str">
            <v>--</v>
          </cell>
          <cell r="BV334" t="str">
            <v>--</v>
          </cell>
          <cell r="BW334" t="str">
            <v>--</v>
          </cell>
          <cell r="BX334" t="str">
            <v>--</v>
          </cell>
          <cell r="BY334" t="str">
            <v>--</v>
          </cell>
          <cell r="BZ334" t="str">
            <v>--</v>
          </cell>
          <cell r="CA334" t="str">
            <v>--</v>
          </cell>
          <cell r="CB334" t="str">
            <v>--</v>
          </cell>
          <cell r="CC334" t="str">
            <v>--</v>
          </cell>
          <cell r="CD334" t="str">
            <v>--</v>
          </cell>
          <cell r="CE334" t="str">
            <v>--</v>
          </cell>
          <cell r="CF334">
            <v>10.5</v>
          </cell>
          <cell r="CG334" t="str">
            <v>--</v>
          </cell>
          <cell r="CH334">
            <v>10.5</v>
          </cell>
          <cell r="CI334" t="str">
            <v>--</v>
          </cell>
          <cell r="CJ334">
            <v>17.399999999999999</v>
          </cell>
          <cell r="CK334">
            <v>15.7</v>
          </cell>
          <cell r="CL334">
            <v>14.1</v>
          </cell>
          <cell r="CM334">
            <v>12.7</v>
          </cell>
          <cell r="CN334">
            <v>11.4</v>
          </cell>
          <cell r="CO334">
            <v>15.8</v>
          </cell>
          <cell r="CP334" t="str">
            <v>--</v>
          </cell>
          <cell r="CQ334">
            <v>21.1</v>
          </cell>
          <cell r="CR334" t="str">
            <v>--</v>
          </cell>
          <cell r="CS334">
            <v>26.1</v>
          </cell>
          <cell r="CT334">
            <v>23.5</v>
          </cell>
          <cell r="CU334">
            <v>21.1</v>
          </cell>
          <cell r="CV334">
            <v>19</v>
          </cell>
          <cell r="CW334">
            <v>17.100000000000001</v>
          </cell>
          <cell r="CX334" t="str">
            <v>--</v>
          </cell>
          <cell r="CY334" t="str">
            <v>--</v>
          </cell>
          <cell r="CZ334" t="str">
            <v>--</v>
          </cell>
          <cell r="DA334" t="str">
            <v>--</v>
          </cell>
          <cell r="DB334" t="str">
            <v>--</v>
          </cell>
          <cell r="DC334" t="str">
            <v>--</v>
          </cell>
          <cell r="DD334" t="str">
            <v>--</v>
          </cell>
          <cell r="DE334" t="str">
            <v>--</v>
          </cell>
          <cell r="DF334" t="str">
            <v>--</v>
          </cell>
          <cell r="DG334">
            <v>10.5</v>
          </cell>
          <cell r="DH334" t="str">
            <v>--</v>
          </cell>
          <cell r="DI334">
            <v>10.5</v>
          </cell>
          <cell r="DJ334" t="str">
            <v>--</v>
          </cell>
          <cell r="DK334">
            <v>8.6999999999999993</v>
          </cell>
          <cell r="DL334">
            <v>9.6</v>
          </cell>
          <cell r="DM334">
            <v>10.5</v>
          </cell>
          <cell r="DN334">
            <v>11.6</v>
          </cell>
          <cell r="DO334">
            <v>12.7</v>
          </cell>
          <cell r="DP334">
            <v>15.8</v>
          </cell>
          <cell r="DQ334" t="str">
            <v>--</v>
          </cell>
          <cell r="DR334">
            <v>31.6</v>
          </cell>
          <cell r="DS334" t="str">
            <v>--</v>
          </cell>
          <cell r="DT334">
            <v>17.399999999999999</v>
          </cell>
          <cell r="DU334">
            <v>19.100000000000001</v>
          </cell>
          <cell r="DV334">
            <v>21.1</v>
          </cell>
          <cell r="DW334">
            <v>23.2</v>
          </cell>
          <cell r="DX334">
            <v>25.5</v>
          </cell>
          <cell r="DY334" t="str">
            <v>--</v>
          </cell>
          <cell r="DZ334" t="str">
            <v>--</v>
          </cell>
          <cell r="EA334" t="str">
            <v>--</v>
          </cell>
          <cell r="EB334" t="str">
            <v>--</v>
          </cell>
          <cell r="EC334" t="str">
            <v>--</v>
          </cell>
          <cell r="ED334" t="str">
            <v>--</v>
          </cell>
          <cell r="EE334" t="str">
            <v>--</v>
          </cell>
          <cell r="EF334" t="str">
            <v>--</v>
          </cell>
          <cell r="EG334" t="str">
            <v>--</v>
          </cell>
        </row>
        <row r="335">
          <cell r="A335" t="str">
            <v>02810310Amer. Ind. or Alaska Nat.</v>
          </cell>
          <cell r="B335" t="str">
            <v>02810310N</v>
          </cell>
          <cell r="C335" t="str">
            <v>0281</v>
          </cell>
          <cell r="D335" t="str">
            <v>02810310</v>
          </cell>
          <cell r="E335" t="str">
            <v>Springfield</v>
          </cell>
          <cell r="F335" t="str">
            <v>Chestnut Street Middle</v>
          </cell>
          <cell r="G335" t="str">
            <v>MS</v>
          </cell>
          <cell r="H335" t="str">
            <v>Springfield - Chestnut Street Middle (02810310)</v>
          </cell>
          <cell r="I335" t="str">
            <v>Amer. Ind. or Alaska Nat.</v>
          </cell>
          <cell r="J335" t="str">
            <v>02810310Amer. Ind. or Alaska Nat.</v>
          </cell>
          <cell r="K335" t="str">
            <v>--</v>
          </cell>
          <cell r="L335" t="str">
            <v>--</v>
          </cell>
          <cell r="M335" t="str">
            <v>--</v>
          </cell>
          <cell r="N335" t="str">
            <v>--</v>
          </cell>
          <cell r="O335" t="str">
            <v>--</v>
          </cell>
          <cell r="P335" t="str">
            <v>--</v>
          </cell>
          <cell r="Q335" t="str">
            <v>--</v>
          </cell>
          <cell r="R335" t="str">
            <v>--</v>
          </cell>
          <cell r="S335" t="str">
            <v>--</v>
          </cell>
          <cell r="T335" t="str">
            <v>--</v>
          </cell>
          <cell r="U335" t="str">
            <v>--</v>
          </cell>
          <cell r="V335" t="str">
            <v>--</v>
          </cell>
          <cell r="W335" t="str">
            <v>--</v>
          </cell>
          <cell r="X335" t="str">
            <v>--</v>
          </cell>
          <cell r="Y335" t="str">
            <v>--</v>
          </cell>
          <cell r="Z335" t="str">
            <v>--</v>
          </cell>
          <cell r="AA335" t="str">
            <v>--</v>
          </cell>
          <cell r="AB335" t="str">
            <v>--</v>
          </cell>
          <cell r="AC335" t="str">
            <v>--</v>
          </cell>
          <cell r="AD335" t="str">
            <v>--</v>
          </cell>
          <cell r="AE335" t="str">
            <v>--</v>
          </cell>
          <cell r="AF335" t="str">
            <v>--</v>
          </cell>
          <cell r="AG335" t="str">
            <v>--</v>
          </cell>
          <cell r="AH335" t="str">
            <v>--</v>
          </cell>
          <cell r="AI335" t="str">
            <v>--</v>
          </cell>
          <cell r="AJ335" t="str">
            <v>--</v>
          </cell>
          <cell r="AK335" t="str">
            <v>--</v>
          </cell>
          <cell r="AL335" t="str">
            <v>--</v>
          </cell>
          <cell r="AM335" t="str">
            <v>--</v>
          </cell>
          <cell r="AN335" t="str">
            <v>--</v>
          </cell>
          <cell r="AO335" t="str">
            <v>--</v>
          </cell>
          <cell r="AP335" t="str">
            <v>--</v>
          </cell>
          <cell r="AQ335" t="str">
            <v>--</v>
          </cell>
          <cell r="AR335" t="str">
            <v>--</v>
          </cell>
          <cell r="AS335" t="str">
            <v>--</v>
          </cell>
          <cell r="AT335" t="str">
            <v>--</v>
          </cell>
          <cell r="AU335" t="str">
            <v>--</v>
          </cell>
          <cell r="AV335" t="str">
            <v>--</v>
          </cell>
          <cell r="AW335" t="str">
            <v>--</v>
          </cell>
          <cell r="AX335" t="str">
            <v>--</v>
          </cell>
          <cell r="AY335" t="str">
            <v>--</v>
          </cell>
          <cell r="AZ335" t="str">
            <v>--</v>
          </cell>
          <cell r="BA335" t="str">
            <v>--</v>
          </cell>
          <cell r="BB335" t="str">
            <v>--</v>
          </cell>
          <cell r="BC335" t="str">
            <v>--</v>
          </cell>
          <cell r="BD335" t="str">
            <v>--</v>
          </cell>
          <cell r="BE335" t="str">
            <v>--</v>
          </cell>
          <cell r="BF335" t="str">
            <v>--</v>
          </cell>
          <cell r="BG335" t="str">
            <v>--</v>
          </cell>
          <cell r="BH335" t="str">
            <v>--</v>
          </cell>
          <cell r="BI335" t="str">
            <v>--</v>
          </cell>
          <cell r="BJ335" t="str">
            <v>--</v>
          </cell>
          <cell r="BK335" t="str">
            <v>--</v>
          </cell>
          <cell r="BL335" t="str">
            <v>--</v>
          </cell>
          <cell r="BM335" t="str">
            <v>--</v>
          </cell>
          <cell r="BN335" t="str">
            <v>--</v>
          </cell>
          <cell r="BO335" t="str">
            <v>--</v>
          </cell>
          <cell r="BP335" t="str">
            <v>--</v>
          </cell>
          <cell r="BQ335" t="str">
            <v>--</v>
          </cell>
          <cell r="BR335" t="str">
            <v>--</v>
          </cell>
          <cell r="BS335" t="str">
            <v>--</v>
          </cell>
          <cell r="BT335" t="str">
            <v>--</v>
          </cell>
          <cell r="BU335" t="str">
            <v>--</v>
          </cell>
          <cell r="BV335" t="str">
            <v>--</v>
          </cell>
          <cell r="BW335" t="str">
            <v>--</v>
          </cell>
          <cell r="BX335" t="str">
            <v>--</v>
          </cell>
          <cell r="BY335" t="str">
            <v>--</v>
          </cell>
          <cell r="BZ335" t="str">
            <v>--</v>
          </cell>
          <cell r="CA335" t="str">
            <v>--</v>
          </cell>
          <cell r="CB335" t="str">
            <v>--</v>
          </cell>
          <cell r="CC335" t="str">
            <v>--</v>
          </cell>
          <cell r="CD335" t="str">
            <v>--</v>
          </cell>
          <cell r="CE335" t="str">
            <v>--</v>
          </cell>
          <cell r="CF335" t="str">
            <v>--</v>
          </cell>
          <cell r="CG335" t="str">
            <v>--</v>
          </cell>
          <cell r="CH335" t="str">
            <v>--</v>
          </cell>
          <cell r="CI335" t="str">
            <v>--</v>
          </cell>
          <cell r="CJ335" t="str">
            <v>--</v>
          </cell>
          <cell r="CK335" t="str">
            <v>--</v>
          </cell>
          <cell r="CL335" t="str">
            <v>--</v>
          </cell>
          <cell r="CM335" t="str">
            <v>--</v>
          </cell>
          <cell r="CN335" t="str">
            <v>--</v>
          </cell>
          <cell r="CO335" t="str">
            <v>--</v>
          </cell>
          <cell r="CP335" t="str">
            <v>--</v>
          </cell>
          <cell r="CQ335" t="str">
            <v>--</v>
          </cell>
          <cell r="CR335" t="str">
            <v>--</v>
          </cell>
          <cell r="CS335" t="str">
            <v>--</v>
          </cell>
          <cell r="CT335" t="str">
            <v>--</v>
          </cell>
          <cell r="CU335" t="str">
            <v>--</v>
          </cell>
          <cell r="CV335" t="str">
            <v>--</v>
          </cell>
          <cell r="CW335" t="str">
            <v>--</v>
          </cell>
          <cell r="CX335" t="str">
            <v>--</v>
          </cell>
          <cell r="CY335" t="str">
            <v>--</v>
          </cell>
          <cell r="CZ335" t="str">
            <v>--</v>
          </cell>
          <cell r="DA335" t="str">
            <v>--</v>
          </cell>
          <cell r="DB335" t="str">
            <v>--</v>
          </cell>
          <cell r="DC335" t="str">
            <v>--</v>
          </cell>
          <cell r="DD335" t="str">
            <v>--</v>
          </cell>
          <cell r="DE335" t="str">
            <v>--</v>
          </cell>
          <cell r="DF335" t="str">
            <v>--</v>
          </cell>
          <cell r="DG335" t="str">
            <v>--</v>
          </cell>
          <cell r="DH335" t="str">
            <v>--</v>
          </cell>
          <cell r="DI335" t="str">
            <v>--</v>
          </cell>
          <cell r="DJ335" t="str">
            <v>--</v>
          </cell>
          <cell r="DK335" t="str">
            <v>--</v>
          </cell>
          <cell r="DL335" t="str">
            <v>--</v>
          </cell>
          <cell r="DM335" t="str">
            <v>--</v>
          </cell>
          <cell r="DN335" t="str">
            <v>--</v>
          </cell>
          <cell r="DO335" t="str">
            <v>--</v>
          </cell>
          <cell r="DP335" t="str">
            <v>--</v>
          </cell>
          <cell r="DQ335" t="str">
            <v>--</v>
          </cell>
          <cell r="DR335" t="str">
            <v>--</v>
          </cell>
          <cell r="DS335" t="str">
            <v>--</v>
          </cell>
          <cell r="DT335" t="str">
            <v>--</v>
          </cell>
          <cell r="DU335" t="str">
            <v>--</v>
          </cell>
          <cell r="DV335" t="str">
            <v>--</v>
          </cell>
          <cell r="DW335" t="str">
            <v>--</v>
          </cell>
          <cell r="DX335" t="str">
            <v>--</v>
          </cell>
          <cell r="DY335" t="str">
            <v>--</v>
          </cell>
          <cell r="DZ335" t="str">
            <v>--</v>
          </cell>
          <cell r="EA335" t="str">
            <v>--</v>
          </cell>
          <cell r="EB335" t="str">
            <v>--</v>
          </cell>
          <cell r="EC335" t="str">
            <v>--</v>
          </cell>
          <cell r="ED335" t="str">
            <v>--</v>
          </cell>
          <cell r="EE335" t="str">
            <v>--</v>
          </cell>
          <cell r="EF335" t="str">
            <v>--</v>
          </cell>
          <cell r="EG335" t="str">
            <v>--</v>
          </cell>
        </row>
        <row r="336">
          <cell r="A336" t="str">
            <v>02810310Nat. Haw. or Pacif. Isl.</v>
          </cell>
          <cell r="B336" t="str">
            <v>02810310P</v>
          </cell>
          <cell r="C336" t="str">
            <v>0281</v>
          </cell>
          <cell r="D336" t="str">
            <v>02810310</v>
          </cell>
          <cell r="E336" t="str">
            <v>Springfield</v>
          </cell>
          <cell r="F336" t="str">
            <v>Chestnut Street Middle</v>
          </cell>
          <cell r="G336" t="str">
            <v>MS</v>
          </cell>
          <cell r="H336" t="str">
            <v>Springfield - Chestnut Street Middle (02810310)</v>
          </cell>
          <cell r="I336" t="str">
            <v>Nat. Haw. or Pacif. Isl.</v>
          </cell>
          <cell r="J336" t="str">
            <v>02810310Nat. Haw. or Pacif. Isl.</v>
          </cell>
          <cell r="K336" t="str">
            <v>Level 4</v>
          </cell>
          <cell r="L336" t="str">
            <v>--</v>
          </cell>
          <cell r="M336" t="str">
            <v>--</v>
          </cell>
          <cell r="N336" t="str">
            <v>--</v>
          </cell>
          <cell r="O336" t="str">
            <v>--</v>
          </cell>
          <cell r="P336" t="str">
            <v>--</v>
          </cell>
          <cell r="Q336" t="str">
            <v>--</v>
          </cell>
          <cell r="R336" t="str">
            <v>--</v>
          </cell>
          <cell r="S336" t="str">
            <v>--</v>
          </cell>
          <cell r="T336" t="str">
            <v>--</v>
          </cell>
          <cell r="U336" t="str">
            <v>--</v>
          </cell>
          <cell r="V336" t="str">
            <v>--</v>
          </cell>
          <cell r="W336" t="str">
            <v>--</v>
          </cell>
          <cell r="X336" t="str">
            <v>--</v>
          </cell>
          <cell r="Y336" t="str">
            <v>--</v>
          </cell>
          <cell r="Z336" t="str">
            <v>--</v>
          </cell>
          <cell r="AA336" t="str">
            <v>--</v>
          </cell>
          <cell r="AB336" t="str">
            <v>--</v>
          </cell>
          <cell r="AC336" t="str">
            <v>--</v>
          </cell>
          <cell r="AD336" t="str">
            <v>--</v>
          </cell>
          <cell r="AE336" t="str">
            <v>--</v>
          </cell>
          <cell r="AF336" t="str">
            <v>--</v>
          </cell>
          <cell r="AG336" t="str">
            <v>--</v>
          </cell>
          <cell r="AH336" t="str">
            <v>--</v>
          </cell>
          <cell r="AI336" t="str">
            <v>--</v>
          </cell>
          <cell r="AJ336" t="str">
            <v>--</v>
          </cell>
          <cell r="AK336" t="str">
            <v>--</v>
          </cell>
          <cell r="AL336" t="str">
            <v>--</v>
          </cell>
          <cell r="AM336" t="str">
            <v>--</v>
          </cell>
          <cell r="AN336" t="str">
            <v>--</v>
          </cell>
          <cell r="AO336" t="str">
            <v>--</v>
          </cell>
          <cell r="AP336" t="str">
            <v>--</v>
          </cell>
          <cell r="AQ336" t="str">
            <v>--</v>
          </cell>
          <cell r="AR336" t="str">
            <v>--</v>
          </cell>
          <cell r="AS336" t="str">
            <v>--</v>
          </cell>
          <cell r="AT336" t="str">
            <v>--</v>
          </cell>
          <cell r="AU336" t="str">
            <v>--</v>
          </cell>
          <cell r="AV336" t="str">
            <v>--</v>
          </cell>
          <cell r="AW336" t="str">
            <v>--</v>
          </cell>
          <cell r="AX336" t="str">
            <v>--</v>
          </cell>
          <cell r="AY336" t="str">
            <v>--</v>
          </cell>
          <cell r="AZ336" t="str">
            <v>--</v>
          </cell>
          <cell r="BA336" t="str">
            <v>--</v>
          </cell>
          <cell r="BB336" t="str">
            <v>--</v>
          </cell>
          <cell r="BC336" t="str">
            <v>--</v>
          </cell>
          <cell r="BD336" t="str">
            <v>--</v>
          </cell>
          <cell r="BE336" t="str">
            <v>--</v>
          </cell>
          <cell r="BF336" t="str">
            <v>--</v>
          </cell>
          <cell r="BG336" t="str">
            <v>--</v>
          </cell>
          <cell r="BH336" t="str">
            <v>--</v>
          </cell>
          <cell r="BI336" t="str">
            <v>--</v>
          </cell>
          <cell r="BJ336" t="str">
            <v>--</v>
          </cell>
          <cell r="BK336" t="str">
            <v>--</v>
          </cell>
          <cell r="BL336" t="str">
            <v>--</v>
          </cell>
          <cell r="BM336" t="str">
            <v>--</v>
          </cell>
          <cell r="BN336" t="str">
            <v>--</v>
          </cell>
          <cell r="BO336" t="str">
            <v>--</v>
          </cell>
          <cell r="BP336" t="str">
            <v>--</v>
          </cell>
          <cell r="BQ336" t="str">
            <v>--</v>
          </cell>
          <cell r="BR336" t="str">
            <v>--</v>
          </cell>
          <cell r="BS336" t="str">
            <v>--</v>
          </cell>
          <cell r="BT336" t="str">
            <v>--</v>
          </cell>
          <cell r="BU336" t="str">
            <v>--</v>
          </cell>
          <cell r="BV336" t="str">
            <v>--</v>
          </cell>
          <cell r="BW336" t="str">
            <v>--</v>
          </cell>
          <cell r="BX336" t="str">
            <v>--</v>
          </cell>
          <cell r="BY336" t="str">
            <v>--</v>
          </cell>
          <cell r="BZ336" t="str">
            <v>--</v>
          </cell>
          <cell r="CA336" t="str">
            <v>--</v>
          </cell>
          <cell r="CB336" t="str">
            <v>--</v>
          </cell>
          <cell r="CC336" t="str">
            <v>--</v>
          </cell>
          <cell r="CD336" t="str">
            <v>--</v>
          </cell>
          <cell r="CE336" t="str">
            <v>--</v>
          </cell>
          <cell r="CF336" t="str">
            <v>--</v>
          </cell>
          <cell r="CG336" t="str">
            <v>--</v>
          </cell>
          <cell r="CH336" t="str">
            <v>--</v>
          </cell>
          <cell r="CI336" t="str">
            <v>--</v>
          </cell>
          <cell r="CJ336" t="str">
            <v>--</v>
          </cell>
          <cell r="CK336" t="str">
            <v>--</v>
          </cell>
          <cell r="CL336" t="str">
            <v>--</v>
          </cell>
          <cell r="CM336" t="str">
            <v>--</v>
          </cell>
          <cell r="CN336" t="str">
            <v>--</v>
          </cell>
          <cell r="CO336" t="str">
            <v>--</v>
          </cell>
          <cell r="CP336" t="str">
            <v>--</v>
          </cell>
          <cell r="CQ336" t="str">
            <v>--</v>
          </cell>
          <cell r="CR336" t="str">
            <v>--</v>
          </cell>
          <cell r="CS336" t="str">
            <v>--</v>
          </cell>
          <cell r="CT336" t="str">
            <v>--</v>
          </cell>
          <cell r="CU336" t="str">
            <v>--</v>
          </cell>
          <cell r="CV336" t="str">
            <v>--</v>
          </cell>
          <cell r="CW336" t="str">
            <v>--</v>
          </cell>
          <cell r="CX336" t="str">
            <v>--</v>
          </cell>
          <cell r="CY336" t="str">
            <v>--</v>
          </cell>
          <cell r="CZ336" t="str">
            <v>--</v>
          </cell>
          <cell r="DA336" t="str">
            <v>--</v>
          </cell>
          <cell r="DB336" t="str">
            <v>--</v>
          </cell>
          <cell r="DC336" t="str">
            <v>--</v>
          </cell>
          <cell r="DD336" t="str">
            <v>--</v>
          </cell>
          <cell r="DE336" t="str">
            <v>--</v>
          </cell>
          <cell r="DF336" t="str">
            <v>--</v>
          </cell>
          <cell r="DG336" t="str">
            <v>--</v>
          </cell>
          <cell r="DH336" t="str">
            <v>--</v>
          </cell>
          <cell r="DI336" t="str">
            <v>--</v>
          </cell>
          <cell r="DJ336" t="str">
            <v>--</v>
          </cell>
          <cell r="DK336" t="str">
            <v>--</v>
          </cell>
          <cell r="DL336" t="str">
            <v>--</v>
          </cell>
          <cell r="DM336" t="str">
            <v>--</v>
          </cell>
          <cell r="DN336" t="str">
            <v>--</v>
          </cell>
          <cell r="DO336" t="str">
            <v>--</v>
          </cell>
          <cell r="DP336" t="str">
            <v>--</v>
          </cell>
          <cell r="DQ336" t="str">
            <v>--</v>
          </cell>
          <cell r="DR336" t="str">
            <v>--</v>
          </cell>
          <cell r="DS336" t="str">
            <v>--</v>
          </cell>
          <cell r="DT336" t="str">
            <v>--</v>
          </cell>
          <cell r="DU336" t="str">
            <v>--</v>
          </cell>
          <cell r="DV336" t="str">
            <v>--</v>
          </cell>
          <cell r="DW336" t="str">
            <v>--</v>
          </cell>
          <cell r="DX336" t="str">
            <v>--</v>
          </cell>
          <cell r="DY336" t="str">
            <v>--</v>
          </cell>
          <cell r="DZ336" t="str">
            <v>--</v>
          </cell>
          <cell r="EA336" t="str">
            <v>--</v>
          </cell>
          <cell r="EB336" t="str">
            <v>--</v>
          </cell>
          <cell r="EC336" t="str">
            <v>--</v>
          </cell>
          <cell r="ED336" t="str">
            <v>--</v>
          </cell>
          <cell r="EE336" t="str">
            <v>--</v>
          </cell>
          <cell r="EF336" t="str">
            <v>--</v>
          </cell>
          <cell r="EG336" t="str">
            <v>--</v>
          </cell>
        </row>
        <row r="337">
          <cell r="A337" t="str">
            <v>02810310High needs</v>
          </cell>
          <cell r="B337" t="str">
            <v>02810310S</v>
          </cell>
          <cell r="C337" t="str">
            <v>0281</v>
          </cell>
          <cell r="D337" t="str">
            <v>02810310</v>
          </cell>
          <cell r="E337" t="str">
            <v>Springfield</v>
          </cell>
          <cell r="F337" t="str">
            <v>Chestnut Street Middle</v>
          </cell>
          <cell r="G337" t="str">
            <v>MS</v>
          </cell>
          <cell r="H337" t="str">
            <v>Springfield - Chestnut Street Middle (02810310)</v>
          </cell>
          <cell r="I337" t="str">
            <v>High needs</v>
          </cell>
          <cell r="J337" t="str">
            <v>02810310High needs</v>
          </cell>
          <cell r="K337" t="str">
            <v>Level 4</v>
          </cell>
          <cell r="L337">
            <v>63.9</v>
          </cell>
          <cell r="M337">
            <v>66.900000000000006</v>
          </cell>
          <cell r="N337">
            <v>63.3</v>
          </cell>
          <cell r="O337">
            <v>69.900000000000006</v>
          </cell>
          <cell r="P337">
            <v>59.6</v>
          </cell>
          <cell r="Q337">
            <v>74.2</v>
          </cell>
          <cell r="R337">
            <v>77.2</v>
          </cell>
          <cell r="S337">
            <v>80.2</v>
          </cell>
          <cell r="T337">
            <v>83.3</v>
          </cell>
          <cell r="U337">
            <v>44.9</v>
          </cell>
          <cell r="V337">
            <v>49.5</v>
          </cell>
          <cell r="W337">
            <v>45.8</v>
          </cell>
          <cell r="X337">
            <v>54.1</v>
          </cell>
          <cell r="Y337">
            <v>40.5</v>
          </cell>
          <cell r="Z337">
            <v>60</v>
          </cell>
          <cell r="AA337">
            <v>64.599999999999994</v>
          </cell>
          <cell r="AB337">
            <v>69.2</v>
          </cell>
          <cell r="AC337">
            <v>73.8</v>
          </cell>
          <cell r="AD337">
            <v>39.4</v>
          </cell>
          <cell r="AE337">
            <v>44.5</v>
          </cell>
          <cell r="AF337">
            <v>39.5</v>
          </cell>
          <cell r="AG337">
            <v>49.5</v>
          </cell>
          <cell r="AH337">
            <v>39.5</v>
          </cell>
          <cell r="AI337">
            <v>55.9</v>
          </cell>
          <cell r="AJ337">
            <v>60.9</v>
          </cell>
          <cell r="AK337">
            <v>66</v>
          </cell>
          <cell r="AL337">
            <v>71</v>
          </cell>
          <cell r="AM337" t="str">
            <v>--</v>
          </cell>
          <cell r="AN337" t="str">
            <v>--</v>
          </cell>
          <cell r="AO337" t="str">
            <v>--</v>
          </cell>
          <cell r="AP337" t="str">
            <v>--</v>
          </cell>
          <cell r="AQ337" t="str">
            <v>--</v>
          </cell>
          <cell r="AR337" t="str">
            <v>--</v>
          </cell>
          <cell r="AS337" t="str">
            <v>--</v>
          </cell>
          <cell r="AT337" t="str">
            <v>--</v>
          </cell>
          <cell r="AU337" t="str">
            <v>--</v>
          </cell>
          <cell r="AV337" t="str">
            <v>--</v>
          </cell>
          <cell r="AW337" t="str">
            <v>--</v>
          </cell>
          <cell r="AX337" t="str">
            <v>--</v>
          </cell>
          <cell r="AY337" t="str">
            <v>--</v>
          </cell>
          <cell r="AZ337" t="str">
            <v>--</v>
          </cell>
          <cell r="BA337" t="str">
            <v>--</v>
          </cell>
          <cell r="BB337" t="str">
            <v>--</v>
          </cell>
          <cell r="BC337" t="str">
            <v>--</v>
          </cell>
          <cell r="BD337" t="str">
            <v>--</v>
          </cell>
          <cell r="BE337" t="str">
            <v>--</v>
          </cell>
          <cell r="BF337" t="str">
            <v>--</v>
          </cell>
          <cell r="BG337" t="str">
            <v>--</v>
          </cell>
          <cell r="BH337" t="str">
            <v>--</v>
          </cell>
          <cell r="BI337" t="str">
            <v>--</v>
          </cell>
          <cell r="BJ337" t="str">
            <v>--</v>
          </cell>
          <cell r="BK337" t="str">
            <v>--</v>
          </cell>
          <cell r="BL337" t="str">
            <v>--</v>
          </cell>
          <cell r="BM337" t="str">
            <v>--</v>
          </cell>
          <cell r="BN337">
            <v>32</v>
          </cell>
          <cell r="BO337">
            <v>42</v>
          </cell>
          <cell r="BP337">
            <v>35</v>
          </cell>
          <cell r="BQ337">
            <v>45</v>
          </cell>
          <cell r="BR337">
            <v>23</v>
          </cell>
          <cell r="BS337">
            <v>37.5</v>
          </cell>
          <cell r="BT337">
            <v>52</v>
          </cell>
          <cell r="BU337">
            <v>60</v>
          </cell>
          <cell r="BV337">
            <v>60</v>
          </cell>
          <cell r="BW337">
            <v>30</v>
          </cell>
          <cell r="BX337">
            <v>40</v>
          </cell>
          <cell r="BY337">
            <v>27</v>
          </cell>
          <cell r="BZ337">
            <v>37</v>
          </cell>
          <cell r="CA337">
            <v>18</v>
          </cell>
          <cell r="CB337">
            <v>32.5</v>
          </cell>
          <cell r="CC337">
            <v>47</v>
          </cell>
          <cell r="CD337">
            <v>60</v>
          </cell>
          <cell r="CE337">
            <v>60</v>
          </cell>
          <cell r="CF337">
            <v>29</v>
          </cell>
          <cell r="CG337">
            <v>26.1</v>
          </cell>
          <cell r="CH337">
            <v>30.7</v>
          </cell>
          <cell r="CI337">
            <v>27.6</v>
          </cell>
          <cell r="CJ337">
            <v>37.299999999999997</v>
          </cell>
          <cell r="CK337">
            <v>33.6</v>
          </cell>
          <cell r="CL337">
            <v>30.2</v>
          </cell>
          <cell r="CM337">
            <v>27.2</v>
          </cell>
          <cell r="CN337">
            <v>24.5</v>
          </cell>
          <cell r="CO337">
            <v>58.5</v>
          </cell>
          <cell r="CP337">
            <v>52.7</v>
          </cell>
          <cell r="CQ337">
            <v>57</v>
          </cell>
          <cell r="CR337">
            <v>51.3</v>
          </cell>
          <cell r="CS337">
            <v>66</v>
          </cell>
          <cell r="CT337">
            <v>59.4</v>
          </cell>
          <cell r="CU337">
            <v>53.5</v>
          </cell>
          <cell r="CV337">
            <v>48.1</v>
          </cell>
          <cell r="CW337">
            <v>43.3</v>
          </cell>
          <cell r="CX337">
            <v>60.3</v>
          </cell>
          <cell r="CY337">
            <v>54.3</v>
          </cell>
          <cell r="CZ337">
            <v>64</v>
          </cell>
          <cell r="DA337">
            <v>57.6</v>
          </cell>
          <cell r="DB337">
            <v>63.6</v>
          </cell>
          <cell r="DC337">
            <v>57.2</v>
          </cell>
          <cell r="DD337">
            <v>51.5</v>
          </cell>
          <cell r="DE337">
            <v>46.4</v>
          </cell>
          <cell r="DF337">
            <v>41.7</v>
          </cell>
          <cell r="DG337">
            <v>2.1</v>
          </cell>
          <cell r="DH337">
            <v>2.2999999999999998</v>
          </cell>
          <cell r="DI337">
            <v>3.5</v>
          </cell>
          <cell r="DJ337">
            <v>3.9</v>
          </cell>
          <cell r="DK337">
            <v>2</v>
          </cell>
          <cell r="DL337">
            <v>2.2000000000000002</v>
          </cell>
          <cell r="DM337">
            <v>2.4</v>
          </cell>
          <cell r="DN337">
            <v>2.7</v>
          </cell>
          <cell r="DO337">
            <v>2.9</v>
          </cell>
          <cell r="DP337">
            <v>3.7</v>
          </cell>
          <cell r="DQ337">
            <v>4.0999999999999996</v>
          </cell>
          <cell r="DR337">
            <v>5.4</v>
          </cell>
          <cell r="DS337">
            <v>5.9</v>
          </cell>
          <cell r="DT337">
            <v>4.2</v>
          </cell>
          <cell r="DU337">
            <v>4.5999999999999996</v>
          </cell>
          <cell r="DV337">
            <v>5.0999999999999996</v>
          </cell>
          <cell r="DW337">
            <v>5.6</v>
          </cell>
          <cell r="DX337">
            <v>6.1</v>
          </cell>
          <cell r="DY337">
            <v>0</v>
          </cell>
          <cell r="DZ337">
            <v>1</v>
          </cell>
          <cell r="EA337">
            <v>0</v>
          </cell>
          <cell r="EB337">
            <v>1</v>
          </cell>
          <cell r="EC337">
            <v>1.3</v>
          </cell>
          <cell r="ED337">
            <v>1.4</v>
          </cell>
          <cell r="EE337">
            <v>1.6</v>
          </cell>
          <cell r="EF337">
            <v>1.7</v>
          </cell>
          <cell r="EG337">
            <v>1.9</v>
          </cell>
        </row>
        <row r="338">
          <cell r="A338" t="str">
            <v>02810310All students</v>
          </cell>
          <cell r="B338" t="str">
            <v>02810310T</v>
          </cell>
          <cell r="C338" t="str">
            <v>0281</v>
          </cell>
          <cell r="D338" t="str">
            <v>02810310</v>
          </cell>
          <cell r="E338" t="str">
            <v>Springfield</v>
          </cell>
          <cell r="F338" t="str">
            <v>Chestnut Street Middle</v>
          </cell>
          <cell r="G338" t="str">
            <v>MS</v>
          </cell>
          <cell r="H338" t="str">
            <v>Springfield - Chestnut Street Middle (02810310)</v>
          </cell>
          <cell r="I338" t="str">
            <v>All students</v>
          </cell>
          <cell r="J338" t="str">
            <v>02810310All students</v>
          </cell>
          <cell r="K338" t="str">
            <v>Level 4</v>
          </cell>
          <cell r="L338">
            <v>65.8</v>
          </cell>
          <cell r="M338">
            <v>68.7</v>
          </cell>
          <cell r="N338">
            <v>64.7</v>
          </cell>
          <cell r="O338">
            <v>71.5</v>
          </cell>
          <cell r="P338">
            <v>61.2</v>
          </cell>
          <cell r="Q338">
            <v>75.7</v>
          </cell>
          <cell r="R338">
            <v>78.5</v>
          </cell>
          <cell r="S338">
            <v>81.400000000000006</v>
          </cell>
          <cell r="T338">
            <v>84.2</v>
          </cell>
          <cell r="U338">
            <v>47.1</v>
          </cell>
          <cell r="V338">
            <v>51.5</v>
          </cell>
          <cell r="W338">
            <v>47.6</v>
          </cell>
          <cell r="X338">
            <v>55.9</v>
          </cell>
          <cell r="Y338">
            <v>42.6</v>
          </cell>
          <cell r="Z338">
            <v>61.6</v>
          </cell>
          <cell r="AA338">
            <v>66</v>
          </cell>
          <cell r="AB338">
            <v>70.400000000000006</v>
          </cell>
          <cell r="AC338">
            <v>74.900000000000006</v>
          </cell>
          <cell r="AD338">
            <v>41.8</v>
          </cell>
          <cell r="AE338">
            <v>46.7</v>
          </cell>
          <cell r="AF338">
            <v>41.1</v>
          </cell>
          <cell r="AG338">
            <v>51.5</v>
          </cell>
          <cell r="AH338">
            <v>41.5</v>
          </cell>
          <cell r="AI338">
            <v>57.7</v>
          </cell>
          <cell r="AJ338">
            <v>62.5</v>
          </cell>
          <cell r="AK338">
            <v>67.400000000000006</v>
          </cell>
          <cell r="AL338">
            <v>72.2</v>
          </cell>
          <cell r="AM338" t="str">
            <v>--</v>
          </cell>
          <cell r="AN338" t="str">
            <v>--</v>
          </cell>
          <cell r="AO338" t="str">
            <v>--</v>
          </cell>
          <cell r="AP338" t="str">
            <v>--</v>
          </cell>
          <cell r="AQ338" t="str">
            <v>--</v>
          </cell>
          <cell r="AR338" t="str">
            <v>--</v>
          </cell>
          <cell r="AS338" t="str">
            <v>--</v>
          </cell>
          <cell r="AT338" t="str">
            <v>--</v>
          </cell>
          <cell r="AU338" t="str">
            <v>--</v>
          </cell>
          <cell r="AV338" t="str">
            <v>--</v>
          </cell>
          <cell r="AW338" t="str">
            <v>--</v>
          </cell>
          <cell r="AX338" t="str">
            <v>--</v>
          </cell>
          <cell r="AY338" t="str">
            <v>--</v>
          </cell>
          <cell r="AZ338" t="str">
            <v>--</v>
          </cell>
          <cell r="BA338" t="str">
            <v>--</v>
          </cell>
          <cell r="BB338" t="str">
            <v>--</v>
          </cell>
          <cell r="BC338" t="str">
            <v>--</v>
          </cell>
          <cell r="BD338" t="str">
            <v>--</v>
          </cell>
          <cell r="BE338" t="str">
            <v>--</v>
          </cell>
          <cell r="BF338" t="str">
            <v>--</v>
          </cell>
          <cell r="BG338" t="str">
            <v>--</v>
          </cell>
          <cell r="BH338" t="str">
            <v>--</v>
          </cell>
          <cell r="BI338" t="str">
            <v>--</v>
          </cell>
          <cell r="BJ338" t="str">
            <v>--</v>
          </cell>
          <cell r="BK338" t="str">
            <v>--</v>
          </cell>
          <cell r="BL338" t="str">
            <v>--</v>
          </cell>
          <cell r="BM338" t="str">
            <v>--</v>
          </cell>
          <cell r="BN338">
            <v>32</v>
          </cell>
          <cell r="BO338">
            <v>42</v>
          </cell>
          <cell r="BP338">
            <v>35.5</v>
          </cell>
          <cell r="BQ338">
            <v>45.5</v>
          </cell>
          <cell r="BR338">
            <v>24</v>
          </cell>
          <cell r="BS338">
            <v>38.5</v>
          </cell>
          <cell r="BT338">
            <v>53</v>
          </cell>
          <cell r="BU338">
            <v>60</v>
          </cell>
          <cell r="BV338">
            <v>60</v>
          </cell>
          <cell r="BW338">
            <v>30</v>
          </cell>
          <cell r="BX338">
            <v>40</v>
          </cell>
          <cell r="BY338">
            <v>28</v>
          </cell>
          <cell r="BZ338">
            <v>38</v>
          </cell>
          <cell r="CA338">
            <v>19</v>
          </cell>
          <cell r="CB338">
            <v>33.5</v>
          </cell>
          <cell r="CC338">
            <v>48</v>
          </cell>
          <cell r="CD338">
            <v>60</v>
          </cell>
          <cell r="CE338">
            <v>60</v>
          </cell>
          <cell r="CF338">
            <v>27.2</v>
          </cell>
          <cell r="CG338">
            <v>24.5</v>
          </cell>
          <cell r="CH338">
            <v>29.6</v>
          </cell>
          <cell r="CI338">
            <v>26.6</v>
          </cell>
          <cell r="CJ338">
            <v>35.700000000000003</v>
          </cell>
          <cell r="CK338">
            <v>32.1</v>
          </cell>
          <cell r="CL338">
            <v>28.9</v>
          </cell>
          <cell r="CM338">
            <v>26</v>
          </cell>
          <cell r="CN338">
            <v>23.4</v>
          </cell>
          <cell r="CO338">
            <v>55.9</v>
          </cell>
          <cell r="CP338">
            <v>50.3</v>
          </cell>
          <cell r="CQ338">
            <v>54.8</v>
          </cell>
          <cell r="CR338">
            <v>49.3</v>
          </cell>
          <cell r="CS338">
            <v>63.5</v>
          </cell>
          <cell r="CT338">
            <v>57.2</v>
          </cell>
          <cell r="CU338">
            <v>51.4</v>
          </cell>
          <cell r="CV338">
            <v>46.3</v>
          </cell>
          <cell r="CW338">
            <v>41.7</v>
          </cell>
          <cell r="CX338">
            <v>56.5</v>
          </cell>
          <cell r="CY338">
            <v>50.9</v>
          </cell>
          <cell r="CZ338">
            <v>62.3</v>
          </cell>
          <cell r="DA338">
            <v>56.1</v>
          </cell>
          <cell r="DB338">
            <v>60.5</v>
          </cell>
          <cell r="DC338">
            <v>54.5</v>
          </cell>
          <cell r="DD338">
            <v>49</v>
          </cell>
          <cell r="DE338">
            <v>44.1</v>
          </cell>
          <cell r="DF338">
            <v>39.700000000000003</v>
          </cell>
          <cell r="DG338">
            <v>2.9</v>
          </cell>
          <cell r="DH338">
            <v>3.2</v>
          </cell>
          <cell r="DI338">
            <v>4.8</v>
          </cell>
          <cell r="DJ338">
            <v>5.3</v>
          </cell>
          <cell r="DK338">
            <v>2.7</v>
          </cell>
          <cell r="DL338">
            <v>3</v>
          </cell>
          <cell r="DM338">
            <v>3.3</v>
          </cell>
          <cell r="DN338">
            <v>3.6</v>
          </cell>
          <cell r="DO338">
            <v>4</v>
          </cell>
          <cell r="DP338">
            <v>4.8</v>
          </cell>
          <cell r="DQ338">
            <v>5.3</v>
          </cell>
          <cell r="DR338">
            <v>6.3</v>
          </cell>
          <cell r="DS338">
            <v>6.9</v>
          </cell>
          <cell r="DT338">
            <v>4.8</v>
          </cell>
          <cell r="DU338">
            <v>5.3</v>
          </cell>
          <cell r="DV338">
            <v>5.8</v>
          </cell>
          <cell r="DW338">
            <v>6.4</v>
          </cell>
          <cell r="DX338">
            <v>7</v>
          </cell>
          <cell r="DY338">
            <v>0</v>
          </cell>
          <cell r="DZ338">
            <v>1</v>
          </cell>
          <cell r="EA338">
            <v>0</v>
          </cell>
          <cell r="EB338">
            <v>1</v>
          </cell>
          <cell r="EC338">
            <v>1.6</v>
          </cell>
          <cell r="ED338">
            <v>1.8</v>
          </cell>
          <cell r="EE338">
            <v>1.9</v>
          </cell>
          <cell r="EF338">
            <v>2.1</v>
          </cell>
          <cell r="EG338">
            <v>2.2999999999999998</v>
          </cell>
        </row>
        <row r="339">
          <cell r="A339" t="str">
            <v>02810328Asian</v>
          </cell>
          <cell r="B339" t="str">
            <v>02810328A</v>
          </cell>
          <cell r="C339" t="str">
            <v>0281</v>
          </cell>
          <cell r="D339" t="str">
            <v>02810328</v>
          </cell>
          <cell r="E339" t="str">
            <v>Springfield</v>
          </cell>
          <cell r="F339" t="str">
            <v>John F Kennedy Middle</v>
          </cell>
          <cell r="G339" t="str">
            <v>MS</v>
          </cell>
          <cell r="H339" t="str">
            <v>Springfield - John F Kennedy Middle (02810328)</v>
          </cell>
          <cell r="I339" t="str">
            <v>Asian</v>
          </cell>
          <cell r="J339" t="str">
            <v>02810328Asian</v>
          </cell>
          <cell r="K339" t="str">
            <v>--</v>
          </cell>
          <cell r="L339" t="str">
            <v>--</v>
          </cell>
          <cell r="M339" t="str">
            <v>--</v>
          </cell>
          <cell r="N339" t="str">
            <v>--</v>
          </cell>
          <cell r="O339" t="str">
            <v>--</v>
          </cell>
          <cell r="P339" t="str">
            <v>--</v>
          </cell>
          <cell r="Q339" t="str">
            <v>--</v>
          </cell>
          <cell r="R339" t="str">
            <v>--</v>
          </cell>
          <cell r="S339" t="str">
            <v>--</v>
          </cell>
          <cell r="T339" t="str">
            <v>--</v>
          </cell>
          <cell r="U339" t="str">
            <v>--</v>
          </cell>
          <cell r="V339" t="str">
            <v>--</v>
          </cell>
          <cell r="W339" t="str">
            <v>--</v>
          </cell>
          <cell r="X339" t="str">
            <v>--</v>
          </cell>
          <cell r="Y339" t="str">
            <v>--</v>
          </cell>
          <cell r="Z339" t="str">
            <v>--</v>
          </cell>
          <cell r="AA339" t="str">
            <v>--</v>
          </cell>
          <cell r="AB339" t="str">
            <v>--</v>
          </cell>
          <cell r="AC339" t="str">
            <v>--</v>
          </cell>
          <cell r="AD339" t="str">
            <v>--</v>
          </cell>
          <cell r="AE339" t="str">
            <v>--</v>
          </cell>
          <cell r="AF339" t="str">
            <v>--</v>
          </cell>
          <cell r="AG339" t="str">
            <v>--</v>
          </cell>
          <cell r="AH339" t="str">
            <v>--</v>
          </cell>
          <cell r="AI339" t="str">
            <v>--</v>
          </cell>
          <cell r="AJ339" t="str">
            <v>--</v>
          </cell>
          <cell r="AK339" t="str">
            <v>--</v>
          </cell>
          <cell r="AL339" t="str">
            <v>--</v>
          </cell>
          <cell r="AM339" t="str">
            <v>--</v>
          </cell>
          <cell r="AN339" t="str">
            <v>--</v>
          </cell>
          <cell r="AO339" t="str">
            <v>--</v>
          </cell>
          <cell r="AP339" t="str">
            <v>--</v>
          </cell>
          <cell r="AQ339" t="str">
            <v>--</v>
          </cell>
          <cell r="AR339" t="str">
            <v>--</v>
          </cell>
          <cell r="AS339" t="str">
            <v>--</v>
          </cell>
          <cell r="AT339" t="str">
            <v>--</v>
          </cell>
          <cell r="AU339" t="str">
            <v>--</v>
          </cell>
          <cell r="AV339" t="str">
            <v>--</v>
          </cell>
          <cell r="AW339" t="str">
            <v>--</v>
          </cell>
          <cell r="AX339" t="str">
            <v>--</v>
          </cell>
          <cell r="AY339" t="str">
            <v>--</v>
          </cell>
          <cell r="AZ339" t="str">
            <v>--</v>
          </cell>
          <cell r="BA339" t="str">
            <v>--</v>
          </cell>
          <cell r="BB339" t="str">
            <v>--</v>
          </cell>
          <cell r="BC339" t="str">
            <v>--</v>
          </cell>
          <cell r="BD339" t="str">
            <v>--</v>
          </cell>
          <cell r="BE339" t="str">
            <v>--</v>
          </cell>
          <cell r="BF339" t="str">
            <v>--</v>
          </cell>
          <cell r="BG339" t="str">
            <v>--</v>
          </cell>
          <cell r="BH339" t="str">
            <v>--</v>
          </cell>
          <cell r="BI339" t="str">
            <v>--</v>
          </cell>
          <cell r="BJ339" t="str">
            <v>--</v>
          </cell>
          <cell r="BK339" t="str">
            <v>--</v>
          </cell>
          <cell r="BL339" t="str">
            <v>--</v>
          </cell>
          <cell r="BM339" t="str">
            <v>--</v>
          </cell>
          <cell r="BN339" t="str">
            <v>--</v>
          </cell>
          <cell r="BO339" t="str">
            <v>--</v>
          </cell>
          <cell r="BP339" t="str">
            <v>--</v>
          </cell>
          <cell r="BQ339" t="str">
            <v>--</v>
          </cell>
          <cell r="BR339" t="str">
            <v>--</v>
          </cell>
          <cell r="BS339" t="str">
            <v>--</v>
          </cell>
          <cell r="BT339" t="str">
            <v>--</v>
          </cell>
          <cell r="BU339" t="str">
            <v>--</v>
          </cell>
          <cell r="BV339" t="str">
            <v>--</v>
          </cell>
          <cell r="BW339" t="str">
            <v>--</v>
          </cell>
          <cell r="BX339" t="str">
            <v>--</v>
          </cell>
          <cell r="BY339" t="str">
            <v>--</v>
          </cell>
          <cell r="BZ339" t="str">
            <v>--</v>
          </cell>
          <cell r="CA339" t="str">
            <v>--</v>
          </cell>
          <cell r="CB339" t="str">
            <v>--</v>
          </cell>
          <cell r="CC339" t="str">
            <v>--</v>
          </cell>
          <cell r="CD339" t="str">
            <v>--</v>
          </cell>
          <cell r="CE339" t="str">
            <v>--</v>
          </cell>
          <cell r="CF339" t="str">
            <v>--</v>
          </cell>
          <cell r="CG339" t="str">
            <v>--</v>
          </cell>
          <cell r="CH339" t="str">
            <v>--</v>
          </cell>
          <cell r="CI339" t="str">
            <v>--</v>
          </cell>
          <cell r="CJ339" t="str">
            <v>--</v>
          </cell>
          <cell r="CK339" t="str">
            <v>--</v>
          </cell>
          <cell r="CL339" t="str">
            <v>--</v>
          </cell>
          <cell r="CM339" t="str">
            <v>--</v>
          </cell>
          <cell r="CN339" t="str">
            <v>--</v>
          </cell>
          <cell r="CO339" t="str">
            <v>--</v>
          </cell>
          <cell r="CP339" t="str">
            <v>--</v>
          </cell>
          <cell r="CQ339" t="str">
            <v>--</v>
          </cell>
          <cell r="CR339" t="str">
            <v>--</v>
          </cell>
          <cell r="CS339" t="str">
            <v>--</v>
          </cell>
          <cell r="CT339" t="str">
            <v>--</v>
          </cell>
          <cell r="CU339" t="str">
            <v>--</v>
          </cell>
          <cell r="CV339" t="str">
            <v>--</v>
          </cell>
          <cell r="CW339" t="str">
            <v>--</v>
          </cell>
          <cell r="CX339" t="str">
            <v>--</v>
          </cell>
          <cell r="CY339" t="str">
            <v>--</v>
          </cell>
          <cell r="CZ339" t="str">
            <v>--</v>
          </cell>
          <cell r="DA339" t="str">
            <v>--</v>
          </cell>
          <cell r="DB339" t="str">
            <v>--</v>
          </cell>
          <cell r="DC339" t="str">
            <v>--</v>
          </cell>
          <cell r="DD339" t="str">
            <v>--</v>
          </cell>
          <cell r="DE339" t="str">
            <v>--</v>
          </cell>
          <cell r="DF339" t="str">
            <v>--</v>
          </cell>
          <cell r="DG339" t="str">
            <v>--</v>
          </cell>
          <cell r="DH339" t="str">
            <v>--</v>
          </cell>
          <cell r="DI339" t="str">
            <v>--</v>
          </cell>
          <cell r="DJ339" t="str">
            <v>--</v>
          </cell>
          <cell r="DK339" t="str">
            <v>--</v>
          </cell>
          <cell r="DL339" t="str">
            <v>--</v>
          </cell>
          <cell r="DM339" t="str">
            <v>--</v>
          </cell>
          <cell r="DN339" t="str">
            <v>--</v>
          </cell>
          <cell r="DO339" t="str">
            <v>--</v>
          </cell>
          <cell r="DP339" t="str">
            <v>--</v>
          </cell>
          <cell r="DQ339" t="str">
            <v>--</v>
          </cell>
          <cell r="DR339" t="str">
            <v>--</v>
          </cell>
          <cell r="DS339" t="str">
            <v>--</v>
          </cell>
          <cell r="DT339" t="str">
            <v>--</v>
          </cell>
          <cell r="DU339" t="str">
            <v>--</v>
          </cell>
          <cell r="DV339" t="str">
            <v>--</v>
          </cell>
          <cell r="DW339" t="str">
            <v>--</v>
          </cell>
          <cell r="DX339" t="str">
            <v>--</v>
          </cell>
          <cell r="DY339" t="str">
            <v>--</v>
          </cell>
          <cell r="DZ339" t="str">
            <v>--</v>
          </cell>
          <cell r="EA339" t="str">
            <v>--</v>
          </cell>
          <cell r="EB339" t="str">
            <v>--</v>
          </cell>
          <cell r="EC339" t="str">
            <v>--</v>
          </cell>
          <cell r="ED339" t="str">
            <v>--</v>
          </cell>
          <cell r="EE339" t="str">
            <v>--</v>
          </cell>
          <cell r="EF339" t="str">
            <v>--</v>
          </cell>
          <cell r="EG339" t="str">
            <v>--</v>
          </cell>
        </row>
        <row r="340">
          <cell r="A340" t="str">
            <v>02810328Afr. Amer/Black</v>
          </cell>
          <cell r="B340" t="str">
            <v>02810328B</v>
          </cell>
          <cell r="C340" t="str">
            <v>0281</v>
          </cell>
          <cell r="D340" t="str">
            <v>02810328</v>
          </cell>
          <cell r="E340" t="str">
            <v>Springfield</v>
          </cell>
          <cell r="F340" t="str">
            <v>John F Kennedy Middle</v>
          </cell>
          <cell r="G340" t="str">
            <v>MS</v>
          </cell>
          <cell r="H340" t="str">
            <v>Springfield - John F Kennedy Middle (02810328)</v>
          </cell>
          <cell r="I340" t="str">
            <v>Afr. Amer/Black</v>
          </cell>
          <cell r="J340" t="str">
            <v>02810328Afr. Amer/Black</v>
          </cell>
          <cell r="K340" t="str">
            <v>--</v>
          </cell>
          <cell r="L340">
            <v>70.7</v>
          </cell>
          <cell r="M340">
            <v>73.099999999999994</v>
          </cell>
          <cell r="N340">
            <v>68.2</v>
          </cell>
          <cell r="O340">
            <v>75.599999999999994</v>
          </cell>
          <cell r="P340">
            <v>62.2</v>
          </cell>
          <cell r="Q340">
            <v>79.3</v>
          </cell>
          <cell r="R340">
            <v>81.8</v>
          </cell>
          <cell r="S340">
            <v>84.2</v>
          </cell>
          <cell r="T340">
            <v>86.7</v>
          </cell>
          <cell r="U340">
            <v>44.9</v>
          </cell>
          <cell r="V340">
            <v>49.5</v>
          </cell>
          <cell r="W340">
            <v>45</v>
          </cell>
          <cell r="X340">
            <v>54.1</v>
          </cell>
          <cell r="Y340">
            <v>41.2</v>
          </cell>
          <cell r="Z340">
            <v>60</v>
          </cell>
          <cell r="AA340">
            <v>64.599999999999994</v>
          </cell>
          <cell r="AB340">
            <v>69.2</v>
          </cell>
          <cell r="AC340">
            <v>73.8</v>
          </cell>
          <cell r="AD340">
            <v>38.700000000000003</v>
          </cell>
          <cell r="AE340">
            <v>43.8</v>
          </cell>
          <cell r="AF340">
            <v>39.6</v>
          </cell>
          <cell r="AG340">
            <v>48.9</v>
          </cell>
          <cell r="AH340">
            <v>34.299999999999997</v>
          </cell>
          <cell r="AI340">
            <v>55.3</v>
          </cell>
          <cell r="AJ340">
            <v>60.4</v>
          </cell>
          <cell r="AK340">
            <v>65.5</v>
          </cell>
          <cell r="AL340">
            <v>70.7</v>
          </cell>
          <cell r="AM340" t="str">
            <v>--</v>
          </cell>
          <cell r="AN340" t="str">
            <v>--</v>
          </cell>
          <cell r="AO340" t="str">
            <v>--</v>
          </cell>
          <cell r="AP340" t="str">
            <v>--</v>
          </cell>
          <cell r="AQ340" t="str">
            <v>--</v>
          </cell>
          <cell r="AR340" t="str">
            <v>--</v>
          </cell>
          <cell r="AS340" t="str">
            <v>--</v>
          </cell>
          <cell r="AT340" t="str">
            <v>--</v>
          </cell>
          <cell r="AU340" t="str">
            <v>--</v>
          </cell>
          <cell r="AV340" t="str">
            <v>--</v>
          </cell>
          <cell r="AW340" t="str">
            <v>--</v>
          </cell>
          <cell r="AX340" t="str">
            <v>--</v>
          </cell>
          <cell r="AY340" t="str">
            <v>--</v>
          </cell>
          <cell r="AZ340" t="str">
            <v>--</v>
          </cell>
          <cell r="BA340" t="str">
            <v>--</v>
          </cell>
          <cell r="BB340" t="str">
            <v>--</v>
          </cell>
          <cell r="BC340" t="str">
            <v>--</v>
          </cell>
          <cell r="BD340" t="str">
            <v>--</v>
          </cell>
          <cell r="BE340" t="str">
            <v>--</v>
          </cell>
          <cell r="BF340" t="str">
            <v>--</v>
          </cell>
          <cell r="BG340" t="str">
            <v>--</v>
          </cell>
          <cell r="BH340" t="str">
            <v>--</v>
          </cell>
          <cell r="BI340" t="str">
            <v>--</v>
          </cell>
          <cell r="BJ340" t="str">
            <v>--</v>
          </cell>
          <cell r="BK340" t="str">
            <v>--</v>
          </cell>
          <cell r="BL340" t="str">
            <v>--</v>
          </cell>
          <cell r="BM340" t="str">
            <v>--</v>
          </cell>
          <cell r="BN340">
            <v>34</v>
          </cell>
          <cell r="BO340">
            <v>44</v>
          </cell>
          <cell r="BP340">
            <v>35.5</v>
          </cell>
          <cell r="BQ340">
            <v>45.5</v>
          </cell>
          <cell r="BR340">
            <v>25.5</v>
          </cell>
          <cell r="BS340">
            <v>40</v>
          </cell>
          <cell r="BT340">
            <v>54.5</v>
          </cell>
          <cell r="BU340">
            <v>60</v>
          </cell>
          <cell r="BV340">
            <v>60</v>
          </cell>
          <cell r="BW340">
            <v>39</v>
          </cell>
          <cell r="BX340">
            <v>49</v>
          </cell>
          <cell r="BY340">
            <v>28.5</v>
          </cell>
          <cell r="BZ340">
            <v>38.5</v>
          </cell>
          <cell r="CA340">
            <v>25.5</v>
          </cell>
          <cell r="CB340">
            <v>40</v>
          </cell>
          <cell r="CC340">
            <v>54.5</v>
          </cell>
          <cell r="CD340">
            <v>60</v>
          </cell>
          <cell r="CE340">
            <v>60</v>
          </cell>
          <cell r="CF340">
            <v>17.100000000000001</v>
          </cell>
          <cell r="CG340">
            <v>15.4</v>
          </cell>
          <cell r="CH340">
            <v>22.7</v>
          </cell>
          <cell r="CI340">
            <v>20.399999999999999</v>
          </cell>
          <cell r="CJ340">
            <v>32.5</v>
          </cell>
          <cell r="CK340">
            <v>29.3</v>
          </cell>
          <cell r="CL340">
            <v>26.3</v>
          </cell>
          <cell r="CM340">
            <v>23.7</v>
          </cell>
          <cell r="CN340">
            <v>21.3</v>
          </cell>
          <cell r="CO340">
            <v>56.3</v>
          </cell>
          <cell r="CP340">
            <v>50.7</v>
          </cell>
          <cell r="CQ340">
            <v>55</v>
          </cell>
          <cell r="CR340">
            <v>49.5</v>
          </cell>
          <cell r="CS340">
            <v>60.4</v>
          </cell>
          <cell r="CT340">
            <v>54.4</v>
          </cell>
          <cell r="CU340">
            <v>48.9</v>
          </cell>
          <cell r="CV340">
            <v>44</v>
          </cell>
          <cell r="CW340">
            <v>39.6</v>
          </cell>
          <cell r="CX340">
            <v>57.1</v>
          </cell>
          <cell r="CY340">
            <v>51.4</v>
          </cell>
          <cell r="CZ340">
            <v>62.5</v>
          </cell>
          <cell r="DA340">
            <v>56.3</v>
          </cell>
          <cell r="DB340">
            <v>66.7</v>
          </cell>
          <cell r="DC340">
            <v>60</v>
          </cell>
          <cell r="DD340">
            <v>54</v>
          </cell>
          <cell r="DE340">
            <v>48.6</v>
          </cell>
          <cell r="DF340">
            <v>43.8</v>
          </cell>
          <cell r="DG340">
            <v>2.6</v>
          </cell>
          <cell r="DH340">
            <v>2.9</v>
          </cell>
          <cell r="DI340">
            <v>1.3</v>
          </cell>
          <cell r="DJ340">
            <v>1.4</v>
          </cell>
          <cell r="DK340">
            <v>1.3</v>
          </cell>
          <cell r="DL340">
            <v>1.4</v>
          </cell>
          <cell r="DM340">
            <v>1.6</v>
          </cell>
          <cell r="DN340">
            <v>1.7</v>
          </cell>
          <cell r="DO340">
            <v>1.9</v>
          </cell>
          <cell r="DP340">
            <v>2</v>
          </cell>
          <cell r="DQ340">
            <v>2.2000000000000002</v>
          </cell>
          <cell r="DR340">
            <v>4</v>
          </cell>
          <cell r="DS340">
            <v>4.4000000000000004</v>
          </cell>
          <cell r="DT340">
            <v>1.3</v>
          </cell>
          <cell r="DU340">
            <v>1.4</v>
          </cell>
          <cell r="DV340">
            <v>1.6</v>
          </cell>
          <cell r="DW340">
            <v>1.7</v>
          </cell>
          <cell r="DX340">
            <v>1.9</v>
          </cell>
          <cell r="DY340">
            <v>0</v>
          </cell>
          <cell r="DZ340">
            <v>1</v>
          </cell>
          <cell r="EA340">
            <v>0</v>
          </cell>
          <cell r="EB340">
            <v>1</v>
          </cell>
          <cell r="EC340">
            <v>0</v>
          </cell>
          <cell r="ED340">
            <v>1</v>
          </cell>
          <cell r="EE340">
            <v>1.1000000000000001</v>
          </cell>
          <cell r="EF340">
            <v>1.2</v>
          </cell>
          <cell r="EG340">
            <v>1.3</v>
          </cell>
        </row>
        <row r="341">
          <cell r="A341" t="str">
            <v>02810328White</v>
          </cell>
          <cell r="B341" t="str">
            <v>02810328C</v>
          </cell>
          <cell r="C341" t="str">
            <v>0281</v>
          </cell>
          <cell r="D341" t="str">
            <v>02810328</v>
          </cell>
          <cell r="E341" t="str">
            <v>Springfield</v>
          </cell>
          <cell r="F341" t="str">
            <v>John F Kennedy Middle</v>
          </cell>
          <cell r="G341" t="str">
            <v>MS</v>
          </cell>
          <cell r="H341" t="str">
            <v>Springfield - John F Kennedy Middle (02810328)</v>
          </cell>
          <cell r="I341" t="str">
            <v>White</v>
          </cell>
          <cell r="J341" t="str">
            <v>02810328White</v>
          </cell>
          <cell r="K341" t="str">
            <v>--</v>
          </cell>
          <cell r="L341">
            <v>76.599999999999994</v>
          </cell>
          <cell r="M341">
            <v>78.599999999999994</v>
          </cell>
          <cell r="N341">
            <v>66</v>
          </cell>
          <cell r="O341">
            <v>80.5</v>
          </cell>
          <cell r="P341">
            <v>67.3</v>
          </cell>
          <cell r="Q341">
            <v>83.8</v>
          </cell>
          <cell r="R341">
            <v>85.7</v>
          </cell>
          <cell r="S341">
            <v>87.7</v>
          </cell>
          <cell r="T341">
            <v>89.6</v>
          </cell>
          <cell r="U341">
            <v>58.3</v>
          </cell>
          <cell r="V341">
            <v>61.8</v>
          </cell>
          <cell r="W341">
            <v>56</v>
          </cell>
          <cell r="X341">
            <v>65.3</v>
          </cell>
          <cell r="Y341">
            <v>51.2</v>
          </cell>
          <cell r="Z341">
            <v>70</v>
          </cell>
          <cell r="AA341">
            <v>73.5</v>
          </cell>
          <cell r="AB341">
            <v>77</v>
          </cell>
          <cell r="AC341">
            <v>80.5</v>
          </cell>
          <cell r="AD341">
            <v>43.2</v>
          </cell>
          <cell r="AE341">
            <v>47.9</v>
          </cell>
          <cell r="AF341">
            <v>46.4</v>
          </cell>
          <cell r="AG341">
            <v>52.7</v>
          </cell>
          <cell r="AH341">
            <v>55</v>
          </cell>
          <cell r="AI341">
            <v>58.7</v>
          </cell>
          <cell r="AJ341">
            <v>63.4</v>
          </cell>
          <cell r="AK341">
            <v>68.2</v>
          </cell>
          <cell r="AL341">
            <v>72.900000000000006</v>
          </cell>
          <cell r="AM341" t="str">
            <v>--</v>
          </cell>
          <cell r="AN341" t="str">
            <v>--</v>
          </cell>
          <cell r="AO341" t="str">
            <v>--</v>
          </cell>
          <cell r="AP341" t="str">
            <v>--</v>
          </cell>
          <cell r="AQ341" t="str">
            <v>--</v>
          </cell>
          <cell r="AR341" t="str">
            <v>--</v>
          </cell>
          <cell r="AS341" t="str">
            <v>--</v>
          </cell>
          <cell r="AT341" t="str">
            <v>--</v>
          </cell>
          <cell r="AU341" t="str">
            <v>--</v>
          </cell>
          <cell r="AV341" t="str">
            <v>--</v>
          </cell>
          <cell r="AW341" t="str">
            <v>--</v>
          </cell>
          <cell r="AX341" t="str">
            <v>--</v>
          </cell>
          <cell r="AY341" t="str">
            <v>--</v>
          </cell>
          <cell r="AZ341" t="str">
            <v>--</v>
          </cell>
          <cell r="BA341" t="str">
            <v>--</v>
          </cell>
          <cell r="BB341" t="str">
            <v>--</v>
          </cell>
          <cell r="BC341" t="str">
            <v>--</v>
          </cell>
          <cell r="BD341" t="str">
            <v>--</v>
          </cell>
          <cell r="BE341" t="str">
            <v>--</v>
          </cell>
          <cell r="BF341" t="str">
            <v>--</v>
          </cell>
          <cell r="BG341" t="str">
            <v>--</v>
          </cell>
          <cell r="BH341" t="str">
            <v>--</v>
          </cell>
          <cell r="BI341" t="str">
            <v>--</v>
          </cell>
          <cell r="BJ341" t="str">
            <v>--</v>
          </cell>
          <cell r="BK341" t="str">
            <v>--</v>
          </cell>
          <cell r="BL341" t="str">
            <v>--</v>
          </cell>
          <cell r="BM341" t="str">
            <v>--</v>
          </cell>
          <cell r="BN341">
            <v>41</v>
          </cell>
          <cell r="BO341">
            <v>51</v>
          </cell>
          <cell r="BP341">
            <v>25</v>
          </cell>
          <cell r="BQ341">
            <v>35</v>
          </cell>
          <cell r="BR341">
            <v>34.5</v>
          </cell>
          <cell r="BS341">
            <v>49</v>
          </cell>
          <cell r="BT341">
            <v>60</v>
          </cell>
          <cell r="BU341">
            <v>60</v>
          </cell>
          <cell r="BV341">
            <v>60</v>
          </cell>
          <cell r="BW341">
            <v>35</v>
          </cell>
          <cell r="BX341">
            <v>45</v>
          </cell>
          <cell r="BY341">
            <v>28.5</v>
          </cell>
          <cell r="BZ341">
            <v>38.5</v>
          </cell>
          <cell r="CA341">
            <v>29</v>
          </cell>
          <cell r="CB341">
            <v>43.5</v>
          </cell>
          <cell r="CC341">
            <v>58</v>
          </cell>
          <cell r="CD341">
            <v>60</v>
          </cell>
          <cell r="CE341">
            <v>60</v>
          </cell>
          <cell r="CF341">
            <v>18.8</v>
          </cell>
          <cell r="CG341">
            <v>16.899999999999999</v>
          </cell>
          <cell r="CH341">
            <v>28</v>
          </cell>
          <cell r="CI341">
            <v>25.2</v>
          </cell>
          <cell r="CJ341">
            <v>26.2</v>
          </cell>
          <cell r="CK341">
            <v>23.6</v>
          </cell>
          <cell r="CL341">
            <v>21.2</v>
          </cell>
          <cell r="CM341">
            <v>19.100000000000001</v>
          </cell>
          <cell r="CN341">
            <v>17.2</v>
          </cell>
          <cell r="CO341">
            <v>43.8</v>
          </cell>
          <cell r="CP341">
            <v>39.4</v>
          </cell>
          <cell r="CQ341">
            <v>40</v>
          </cell>
          <cell r="CR341">
            <v>36</v>
          </cell>
          <cell r="CS341">
            <v>43.1</v>
          </cell>
          <cell r="CT341">
            <v>38.799999999999997</v>
          </cell>
          <cell r="CU341">
            <v>34.9</v>
          </cell>
          <cell r="CV341">
            <v>31.4</v>
          </cell>
          <cell r="CW341">
            <v>28.3</v>
          </cell>
          <cell r="CX341">
            <v>38.9</v>
          </cell>
          <cell r="CY341">
            <v>45</v>
          </cell>
          <cell r="CZ341">
            <v>50</v>
          </cell>
          <cell r="DA341" t="str">
            <v>--</v>
          </cell>
          <cell r="DB341">
            <v>35</v>
          </cell>
          <cell r="DC341">
            <v>31.5</v>
          </cell>
          <cell r="DD341">
            <v>28.4</v>
          </cell>
          <cell r="DE341">
            <v>25.5</v>
          </cell>
          <cell r="DF341">
            <v>23</v>
          </cell>
          <cell r="DG341">
            <v>2.1</v>
          </cell>
          <cell r="DH341">
            <v>2.2999999999999998</v>
          </cell>
          <cell r="DI341">
            <v>4</v>
          </cell>
          <cell r="DJ341">
            <v>4.4000000000000004</v>
          </cell>
          <cell r="DK341">
            <v>4.5999999999999996</v>
          </cell>
          <cell r="DL341">
            <v>5.0999999999999996</v>
          </cell>
          <cell r="DM341">
            <v>5.6</v>
          </cell>
          <cell r="DN341">
            <v>6.1</v>
          </cell>
          <cell r="DO341">
            <v>6.7</v>
          </cell>
          <cell r="DP341">
            <v>12.5</v>
          </cell>
          <cell r="DQ341">
            <v>13.8</v>
          </cell>
          <cell r="DR341">
            <v>4</v>
          </cell>
          <cell r="DS341">
            <v>4.4000000000000004</v>
          </cell>
          <cell r="DT341">
            <v>4.5999999999999996</v>
          </cell>
          <cell r="DU341">
            <v>5.0999999999999996</v>
          </cell>
          <cell r="DV341">
            <v>5.6</v>
          </cell>
          <cell r="DW341">
            <v>6.1</v>
          </cell>
          <cell r="DX341">
            <v>6.7</v>
          </cell>
          <cell r="DY341">
            <v>5.6</v>
          </cell>
          <cell r="DZ341">
            <v>1</v>
          </cell>
          <cell r="EA341">
            <v>0</v>
          </cell>
          <cell r="EB341" t="str">
            <v>--</v>
          </cell>
          <cell r="EC341">
            <v>0</v>
          </cell>
          <cell r="ED341">
            <v>1</v>
          </cell>
          <cell r="EE341">
            <v>1.1000000000000001</v>
          </cell>
          <cell r="EF341">
            <v>1.2</v>
          </cell>
          <cell r="EG341">
            <v>1.3</v>
          </cell>
        </row>
        <row r="342">
          <cell r="A342" t="str">
            <v>02810328Students w/disabilities</v>
          </cell>
          <cell r="B342" t="str">
            <v>02810328D</v>
          </cell>
          <cell r="C342" t="str">
            <v>0281</v>
          </cell>
          <cell r="D342" t="str">
            <v>02810328</v>
          </cell>
          <cell r="E342" t="str">
            <v>Springfield</v>
          </cell>
          <cell r="F342" t="str">
            <v>John F Kennedy Middle</v>
          </cell>
          <cell r="G342" t="str">
            <v>MS</v>
          </cell>
          <cell r="H342" t="str">
            <v>Springfield - John F Kennedy Middle (02810328)</v>
          </cell>
          <cell r="I342" t="str">
            <v>Students w/disabilities</v>
          </cell>
          <cell r="J342" t="str">
            <v>02810328Students w/disabilities</v>
          </cell>
          <cell r="K342" t="str">
            <v>--</v>
          </cell>
          <cell r="L342">
            <v>44</v>
          </cell>
          <cell r="M342">
            <v>48.7</v>
          </cell>
          <cell r="N342">
            <v>38.799999999999997</v>
          </cell>
          <cell r="O342">
            <v>53.3</v>
          </cell>
          <cell r="P342">
            <v>37.4</v>
          </cell>
          <cell r="Q342">
            <v>59.3</v>
          </cell>
          <cell r="R342">
            <v>64</v>
          </cell>
          <cell r="S342">
            <v>68.599999999999994</v>
          </cell>
          <cell r="T342">
            <v>73.3</v>
          </cell>
          <cell r="U342">
            <v>25.2</v>
          </cell>
          <cell r="V342">
            <v>31.4</v>
          </cell>
          <cell r="W342">
            <v>30.5</v>
          </cell>
          <cell r="X342">
            <v>37.700000000000003</v>
          </cell>
          <cell r="Y342">
            <v>30.3</v>
          </cell>
          <cell r="Z342">
            <v>45.2</v>
          </cell>
          <cell r="AA342">
            <v>51.4</v>
          </cell>
          <cell r="AB342">
            <v>57.7</v>
          </cell>
          <cell r="AC342">
            <v>63.9</v>
          </cell>
          <cell r="AD342">
            <v>31.3</v>
          </cell>
          <cell r="AE342">
            <v>37</v>
          </cell>
          <cell r="AF342">
            <v>33.1</v>
          </cell>
          <cell r="AG342">
            <v>42.8</v>
          </cell>
          <cell r="AH342">
            <v>26.1</v>
          </cell>
          <cell r="AI342">
            <v>49.8</v>
          </cell>
          <cell r="AJ342">
            <v>55.5</v>
          </cell>
          <cell r="AK342">
            <v>61.2</v>
          </cell>
          <cell r="AL342">
            <v>67</v>
          </cell>
          <cell r="AM342" t="str">
            <v>--</v>
          </cell>
          <cell r="AN342" t="str">
            <v>--</v>
          </cell>
          <cell r="AO342" t="str">
            <v>--</v>
          </cell>
          <cell r="AP342" t="str">
            <v>--</v>
          </cell>
          <cell r="AQ342" t="str">
            <v>--</v>
          </cell>
          <cell r="AR342" t="str">
            <v>--</v>
          </cell>
          <cell r="AS342" t="str">
            <v>--</v>
          </cell>
          <cell r="AT342" t="str">
            <v>--</v>
          </cell>
          <cell r="AU342" t="str">
            <v>--</v>
          </cell>
          <cell r="AV342" t="str">
            <v>--</v>
          </cell>
          <cell r="AW342" t="str">
            <v>--</v>
          </cell>
          <cell r="AX342" t="str">
            <v>--</v>
          </cell>
          <cell r="AY342" t="str">
            <v>--</v>
          </cell>
          <cell r="AZ342" t="str">
            <v>--</v>
          </cell>
          <cell r="BA342" t="str">
            <v>--</v>
          </cell>
          <cell r="BB342" t="str">
            <v>--</v>
          </cell>
          <cell r="BC342" t="str">
            <v>--</v>
          </cell>
          <cell r="BD342" t="str">
            <v>--</v>
          </cell>
          <cell r="BE342" t="str">
            <v>--</v>
          </cell>
          <cell r="BF342" t="str">
            <v>--</v>
          </cell>
          <cell r="BG342" t="str">
            <v>--</v>
          </cell>
          <cell r="BH342" t="str">
            <v>--</v>
          </cell>
          <cell r="BI342" t="str">
            <v>--</v>
          </cell>
          <cell r="BJ342" t="str">
            <v>--</v>
          </cell>
          <cell r="BK342" t="str">
            <v>--</v>
          </cell>
          <cell r="BL342" t="str">
            <v>--</v>
          </cell>
          <cell r="BM342" t="str">
            <v>--</v>
          </cell>
          <cell r="BN342">
            <v>33</v>
          </cell>
          <cell r="BO342">
            <v>43</v>
          </cell>
          <cell r="BP342">
            <v>25</v>
          </cell>
          <cell r="BQ342">
            <v>35</v>
          </cell>
          <cell r="BR342">
            <v>23</v>
          </cell>
          <cell r="BS342">
            <v>37.5</v>
          </cell>
          <cell r="BT342">
            <v>52</v>
          </cell>
          <cell r="BU342">
            <v>60</v>
          </cell>
          <cell r="BV342">
            <v>60</v>
          </cell>
          <cell r="BW342">
            <v>32</v>
          </cell>
          <cell r="BX342">
            <v>42</v>
          </cell>
          <cell r="BY342">
            <v>27</v>
          </cell>
          <cell r="BZ342">
            <v>37</v>
          </cell>
          <cell r="CA342">
            <v>27</v>
          </cell>
          <cell r="CB342">
            <v>41.5</v>
          </cell>
          <cell r="CC342">
            <v>56</v>
          </cell>
          <cell r="CD342">
            <v>60</v>
          </cell>
          <cell r="CE342">
            <v>60</v>
          </cell>
          <cell r="CF342">
            <v>53.3</v>
          </cell>
          <cell r="CG342">
            <v>48</v>
          </cell>
          <cell r="CH342">
            <v>65.7</v>
          </cell>
          <cell r="CI342">
            <v>59.1</v>
          </cell>
          <cell r="CJ342">
            <v>66.900000000000006</v>
          </cell>
          <cell r="CK342">
            <v>60.2</v>
          </cell>
          <cell r="CL342">
            <v>54.2</v>
          </cell>
          <cell r="CM342">
            <v>48.8</v>
          </cell>
          <cell r="CN342">
            <v>43.9</v>
          </cell>
          <cell r="CO342">
            <v>87.6</v>
          </cell>
          <cell r="CP342">
            <v>78.8</v>
          </cell>
          <cell r="CQ342">
            <v>79.7</v>
          </cell>
          <cell r="CR342">
            <v>71.7</v>
          </cell>
          <cell r="CS342">
            <v>80.3</v>
          </cell>
          <cell r="CT342">
            <v>72.3</v>
          </cell>
          <cell r="CU342">
            <v>65</v>
          </cell>
          <cell r="CV342">
            <v>58.5</v>
          </cell>
          <cell r="CW342">
            <v>52.7</v>
          </cell>
          <cell r="CX342">
            <v>75</v>
          </cell>
          <cell r="CY342">
            <v>67.5</v>
          </cell>
          <cell r="CZ342">
            <v>74.400000000000006</v>
          </cell>
          <cell r="DA342">
            <v>67</v>
          </cell>
          <cell r="DB342">
            <v>88.6</v>
          </cell>
          <cell r="DC342">
            <v>79.7</v>
          </cell>
          <cell r="DD342">
            <v>71.8</v>
          </cell>
          <cell r="DE342">
            <v>64.599999999999994</v>
          </cell>
          <cell r="DF342">
            <v>58.1</v>
          </cell>
          <cell r="DG342">
            <v>0</v>
          </cell>
          <cell r="DH342">
            <v>1</v>
          </cell>
          <cell r="DI342">
            <v>0</v>
          </cell>
          <cell r="DJ342">
            <v>1</v>
          </cell>
          <cell r="DK342">
            <v>0</v>
          </cell>
          <cell r="DL342">
            <v>1</v>
          </cell>
          <cell r="DM342">
            <v>1.1000000000000001</v>
          </cell>
          <cell r="DN342">
            <v>1.2</v>
          </cell>
          <cell r="DO342">
            <v>1.3</v>
          </cell>
          <cell r="DP342">
            <v>0</v>
          </cell>
          <cell r="DQ342">
            <v>1</v>
          </cell>
          <cell r="DR342">
            <v>0</v>
          </cell>
          <cell r="DS342">
            <v>1</v>
          </cell>
          <cell r="DT342">
            <v>0</v>
          </cell>
          <cell r="DU342">
            <v>1</v>
          </cell>
          <cell r="DV342">
            <v>1.1000000000000001</v>
          </cell>
          <cell r="DW342">
            <v>1.2</v>
          </cell>
          <cell r="DX342">
            <v>1.3</v>
          </cell>
          <cell r="DY342">
            <v>0</v>
          </cell>
          <cell r="DZ342">
            <v>1</v>
          </cell>
          <cell r="EA342">
            <v>0</v>
          </cell>
          <cell r="EB342">
            <v>1</v>
          </cell>
          <cell r="EC342">
            <v>0</v>
          </cell>
          <cell r="ED342">
            <v>1</v>
          </cell>
          <cell r="EE342">
            <v>1.1000000000000001</v>
          </cell>
          <cell r="EF342">
            <v>1.2</v>
          </cell>
          <cell r="EG342">
            <v>1.3</v>
          </cell>
        </row>
        <row r="343">
          <cell r="A343" t="str">
            <v>02810328Low income</v>
          </cell>
          <cell r="B343" t="str">
            <v>02810328F</v>
          </cell>
          <cell r="C343" t="str">
            <v>0281</v>
          </cell>
          <cell r="D343" t="str">
            <v>02810328</v>
          </cell>
          <cell r="E343" t="str">
            <v>Springfield</v>
          </cell>
          <cell r="F343" t="str">
            <v>John F Kennedy Middle</v>
          </cell>
          <cell r="G343" t="str">
            <v>MS</v>
          </cell>
          <cell r="H343" t="str">
            <v>Springfield - John F Kennedy Middle (02810328)</v>
          </cell>
          <cell r="I343" t="str">
            <v>Low income</v>
          </cell>
          <cell r="J343" t="str">
            <v>02810328Low income</v>
          </cell>
          <cell r="K343" t="str">
            <v>--</v>
          </cell>
          <cell r="L343">
            <v>68.900000000000006</v>
          </cell>
          <cell r="M343">
            <v>71.5</v>
          </cell>
          <cell r="N343">
            <v>61.5</v>
          </cell>
          <cell r="O343">
            <v>74.099999999999994</v>
          </cell>
          <cell r="P343">
            <v>58.1</v>
          </cell>
          <cell r="Q343">
            <v>78</v>
          </cell>
          <cell r="R343">
            <v>80.599999999999994</v>
          </cell>
          <cell r="S343">
            <v>83.2</v>
          </cell>
          <cell r="T343">
            <v>85.8</v>
          </cell>
          <cell r="U343">
            <v>44.4</v>
          </cell>
          <cell r="V343">
            <v>49</v>
          </cell>
          <cell r="W343">
            <v>42.3</v>
          </cell>
          <cell r="X343">
            <v>53.7</v>
          </cell>
          <cell r="Y343">
            <v>39.1</v>
          </cell>
          <cell r="Z343">
            <v>59.6</v>
          </cell>
          <cell r="AA343">
            <v>64.2</v>
          </cell>
          <cell r="AB343">
            <v>68.900000000000006</v>
          </cell>
          <cell r="AC343">
            <v>73.5</v>
          </cell>
          <cell r="AD343">
            <v>40.9</v>
          </cell>
          <cell r="AE343">
            <v>45.8</v>
          </cell>
          <cell r="AF343">
            <v>37.6</v>
          </cell>
          <cell r="AG343">
            <v>50.8</v>
          </cell>
          <cell r="AH343">
            <v>36.4</v>
          </cell>
          <cell r="AI343">
            <v>57</v>
          </cell>
          <cell r="AJ343">
            <v>61.9</v>
          </cell>
          <cell r="AK343">
            <v>66.8</v>
          </cell>
          <cell r="AL343">
            <v>71.8</v>
          </cell>
          <cell r="AM343" t="str">
            <v>--</v>
          </cell>
          <cell r="AN343" t="str">
            <v>--</v>
          </cell>
          <cell r="AO343" t="str">
            <v>--</v>
          </cell>
          <cell r="AP343" t="str">
            <v>--</v>
          </cell>
          <cell r="AQ343" t="str">
            <v>--</v>
          </cell>
          <cell r="AR343" t="str">
            <v>--</v>
          </cell>
          <cell r="AS343" t="str">
            <v>--</v>
          </cell>
          <cell r="AT343" t="str">
            <v>--</v>
          </cell>
          <cell r="AU343" t="str">
            <v>--</v>
          </cell>
          <cell r="AV343" t="str">
            <v>--</v>
          </cell>
          <cell r="AW343" t="str">
            <v>--</v>
          </cell>
          <cell r="AX343" t="str">
            <v>--</v>
          </cell>
          <cell r="AY343" t="str">
            <v>--</v>
          </cell>
          <cell r="AZ343" t="str">
            <v>--</v>
          </cell>
          <cell r="BA343" t="str">
            <v>--</v>
          </cell>
          <cell r="BB343" t="str">
            <v>--</v>
          </cell>
          <cell r="BC343" t="str">
            <v>--</v>
          </cell>
          <cell r="BD343" t="str">
            <v>--</v>
          </cell>
          <cell r="BE343" t="str">
            <v>--</v>
          </cell>
          <cell r="BF343" t="str">
            <v>--</v>
          </cell>
          <cell r="BG343" t="str">
            <v>--</v>
          </cell>
          <cell r="BH343" t="str">
            <v>--</v>
          </cell>
          <cell r="BI343" t="str">
            <v>--</v>
          </cell>
          <cell r="BJ343" t="str">
            <v>--</v>
          </cell>
          <cell r="BK343" t="str">
            <v>--</v>
          </cell>
          <cell r="BL343" t="str">
            <v>--</v>
          </cell>
          <cell r="BM343" t="str">
            <v>--</v>
          </cell>
          <cell r="BN343">
            <v>33</v>
          </cell>
          <cell r="BO343">
            <v>43</v>
          </cell>
          <cell r="BP343">
            <v>32</v>
          </cell>
          <cell r="BQ343">
            <v>42</v>
          </cell>
          <cell r="BR343">
            <v>30</v>
          </cell>
          <cell r="BS343">
            <v>44.5</v>
          </cell>
          <cell r="BT343">
            <v>59</v>
          </cell>
          <cell r="BU343">
            <v>60</v>
          </cell>
          <cell r="BV343">
            <v>60</v>
          </cell>
          <cell r="BW343">
            <v>36</v>
          </cell>
          <cell r="BX343">
            <v>46</v>
          </cell>
          <cell r="BY343">
            <v>26</v>
          </cell>
          <cell r="BZ343">
            <v>36</v>
          </cell>
          <cell r="CA343">
            <v>27</v>
          </cell>
          <cell r="CB343">
            <v>41.5</v>
          </cell>
          <cell r="CC343">
            <v>56</v>
          </cell>
          <cell r="CD343">
            <v>60</v>
          </cell>
          <cell r="CE343">
            <v>60</v>
          </cell>
          <cell r="CF343">
            <v>20.6</v>
          </cell>
          <cell r="CG343">
            <v>18.5</v>
          </cell>
          <cell r="CH343">
            <v>31.4</v>
          </cell>
          <cell r="CI343">
            <v>28.3</v>
          </cell>
          <cell r="CJ343">
            <v>36.799999999999997</v>
          </cell>
          <cell r="CK343">
            <v>33.1</v>
          </cell>
          <cell r="CL343">
            <v>29.8</v>
          </cell>
          <cell r="CM343">
            <v>26.8</v>
          </cell>
          <cell r="CN343">
            <v>24.1</v>
          </cell>
          <cell r="CO343">
            <v>57.1</v>
          </cell>
          <cell r="CP343">
            <v>51.4</v>
          </cell>
          <cell r="CQ343">
            <v>56.9</v>
          </cell>
          <cell r="CR343">
            <v>51.2</v>
          </cell>
          <cell r="CS343">
            <v>65.400000000000006</v>
          </cell>
          <cell r="CT343">
            <v>58.9</v>
          </cell>
          <cell r="CU343">
            <v>53</v>
          </cell>
          <cell r="CV343">
            <v>47.7</v>
          </cell>
          <cell r="CW343">
            <v>42.9</v>
          </cell>
          <cell r="CX343">
            <v>54.3</v>
          </cell>
          <cell r="CY343">
            <v>48.9</v>
          </cell>
          <cell r="CZ343">
            <v>62.9</v>
          </cell>
          <cell r="DA343">
            <v>56.6</v>
          </cell>
          <cell r="DB343">
            <v>62.6</v>
          </cell>
          <cell r="DC343">
            <v>56.3</v>
          </cell>
          <cell r="DD343">
            <v>50.7</v>
          </cell>
          <cell r="DE343">
            <v>45.6</v>
          </cell>
          <cell r="DF343">
            <v>41.1</v>
          </cell>
          <cell r="DG343">
            <v>1.2</v>
          </cell>
          <cell r="DH343">
            <v>1.3</v>
          </cell>
          <cell r="DI343">
            <v>0.7</v>
          </cell>
          <cell r="DJ343">
            <v>0.8</v>
          </cell>
          <cell r="DK343">
            <v>0.6</v>
          </cell>
          <cell r="DL343">
            <v>0.7</v>
          </cell>
          <cell r="DM343">
            <v>0.7</v>
          </cell>
          <cell r="DN343">
            <v>0.8</v>
          </cell>
          <cell r="DO343">
            <v>0.9</v>
          </cell>
          <cell r="DP343">
            <v>3.1</v>
          </cell>
          <cell r="DQ343">
            <v>3.4</v>
          </cell>
          <cell r="DR343">
            <v>1.9</v>
          </cell>
          <cell r="DS343">
            <v>2.1</v>
          </cell>
          <cell r="DT343">
            <v>0.7</v>
          </cell>
          <cell r="DU343">
            <v>0.8</v>
          </cell>
          <cell r="DV343">
            <v>0.8</v>
          </cell>
          <cell r="DW343">
            <v>0.9</v>
          </cell>
          <cell r="DX343">
            <v>1</v>
          </cell>
          <cell r="DY343">
            <v>0</v>
          </cell>
          <cell r="DZ343">
            <v>1</v>
          </cell>
          <cell r="EA343">
            <v>0</v>
          </cell>
          <cell r="EB343">
            <v>1</v>
          </cell>
          <cell r="EC343">
            <v>0</v>
          </cell>
          <cell r="ED343">
            <v>1</v>
          </cell>
          <cell r="EE343">
            <v>1.1000000000000001</v>
          </cell>
          <cell r="EF343">
            <v>1.2</v>
          </cell>
          <cell r="EG343">
            <v>1.3</v>
          </cell>
        </row>
        <row r="344">
          <cell r="A344" t="str">
            <v>02810328Hispanic/Latino</v>
          </cell>
          <cell r="B344" t="str">
            <v>02810328H</v>
          </cell>
          <cell r="C344" t="str">
            <v>0281</v>
          </cell>
          <cell r="D344" t="str">
            <v>02810328</v>
          </cell>
          <cell r="E344" t="str">
            <v>Springfield</v>
          </cell>
          <cell r="F344" t="str">
            <v>John F Kennedy Middle</v>
          </cell>
          <cell r="G344" t="str">
            <v>MS</v>
          </cell>
          <cell r="H344" t="str">
            <v>Springfield - John F Kennedy Middle (02810328)</v>
          </cell>
          <cell r="I344" t="str">
            <v>Hispanic/Latino</v>
          </cell>
          <cell r="J344" t="str">
            <v>02810328Hispanic/Latino</v>
          </cell>
          <cell r="K344" t="str">
            <v>--</v>
          </cell>
          <cell r="L344">
            <v>67.400000000000006</v>
          </cell>
          <cell r="M344">
            <v>70.099999999999994</v>
          </cell>
          <cell r="N344">
            <v>57.7</v>
          </cell>
          <cell r="O344">
            <v>72.8</v>
          </cell>
          <cell r="P344">
            <v>54.7</v>
          </cell>
          <cell r="Q344">
            <v>76.900000000000006</v>
          </cell>
          <cell r="R344">
            <v>79.599999999999994</v>
          </cell>
          <cell r="S344">
            <v>82.3</v>
          </cell>
          <cell r="T344">
            <v>85</v>
          </cell>
          <cell r="U344">
            <v>41.4</v>
          </cell>
          <cell r="V344">
            <v>46.3</v>
          </cell>
          <cell r="W344">
            <v>38.4</v>
          </cell>
          <cell r="X344">
            <v>51.2</v>
          </cell>
          <cell r="Y344">
            <v>36</v>
          </cell>
          <cell r="Z344">
            <v>57.4</v>
          </cell>
          <cell r="AA344">
            <v>62.2</v>
          </cell>
          <cell r="AB344">
            <v>67.099999999999994</v>
          </cell>
          <cell r="AC344">
            <v>72</v>
          </cell>
          <cell r="AD344">
            <v>38.5</v>
          </cell>
          <cell r="AE344">
            <v>43.6</v>
          </cell>
          <cell r="AF344">
            <v>35.4</v>
          </cell>
          <cell r="AG344">
            <v>48.8</v>
          </cell>
          <cell r="AH344">
            <v>36.1</v>
          </cell>
          <cell r="AI344">
            <v>55.2</v>
          </cell>
          <cell r="AJ344">
            <v>60.3</v>
          </cell>
          <cell r="AK344">
            <v>65.400000000000006</v>
          </cell>
          <cell r="AL344">
            <v>70.599999999999994</v>
          </cell>
          <cell r="AM344" t="str">
            <v>--</v>
          </cell>
          <cell r="AN344" t="str">
            <v>--</v>
          </cell>
          <cell r="AO344" t="str">
            <v>--</v>
          </cell>
          <cell r="AP344" t="str">
            <v>--</v>
          </cell>
          <cell r="AQ344" t="str">
            <v>--</v>
          </cell>
          <cell r="AR344" t="str">
            <v>--</v>
          </cell>
          <cell r="AS344" t="str">
            <v>--</v>
          </cell>
          <cell r="AT344" t="str">
            <v>--</v>
          </cell>
          <cell r="AU344" t="str">
            <v>--</v>
          </cell>
          <cell r="AV344" t="str">
            <v>--</v>
          </cell>
          <cell r="AW344" t="str">
            <v>--</v>
          </cell>
          <cell r="AX344" t="str">
            <v>--</v>
          </cell>
          <cell r="AY344" t="str">
            <v>--</v>
          </cell>
          <cell r="AZ344" t="str">
            <v>--</v>
          </cell>
          <cell r="BA344" t="str">
            <v>--</v>
          </cell>
          <cell r="BB344" t="str">
            <v>--</v>
          </cell>
          <cell r="BC344" t="str">
            <v>--</v>
          </cell>
          <cell r="BD344" t="str">
            <v>--</v>
          </cell>
          <cell r="BE344" t="str">
            <v>--</v>
          </cell>
          <cell r="BF344" t="str">
            <v>--</v>
          </cell>
          <cell r="BG344" t="str">
            <v>--</v>
          </cell>
          <cell r="BH344" t="str">
            <v>--</v>
          </cell>
          <cell r="BI344" t="str">
            <v>--</v>
          </cell>
          <cell r="BJ344" t="str">
            <v>--</v>
          </cell>
          <cell r="BK344" t="str">
            <v>--</v>
          </cell>
          <cell r="BL344" t="str">
            <v>--</v>
          </cell>
          <cell r="BM344" t="str">
            <v>--</v>
          </cell>
          <cell r="BN344">
            <v>33</v>
          </cell>
          <cell r="BO344">
            <v>43</v>
          </cell>
          <cell r="BP344">
            <v>31</v>
          </cell>
          <cell r="BQ344">
            <v>41</v>
          </cell>
          <cell r="BR344">
            <v>33</v>
          </cell>
          <cell r="BS344">
            <v>47.5</v>
          </cell>
          <cell r="BT344">
            <v>60</v>
          </cell>
          <cell r="BU344">
            <v>60</v>
          </cell>
          <cell r="BV344">
            <v>60</v>
          </cell>
          <cell r="BW344">
            <v>32</v>
          </cell>
          <cell r="BX344">
            <v>42</v>
          </cell>
          <cell r="BY344">
            <v>25</v>
          </cell>
          <cell r="BZ344">
            <v>35</v>
          </cell>
          <cell r="CA344">
            <v>27</v>
          </cell>
          <cell r="CB344">
            <v>41.5</v>
          </cell>
          <cell r="CC344">
            <v>56</v>
          </cell>
          <cell r="CD344">
            <v>60</v>
          </cell>
          <cell r="CE344">
            <v>60</v>
          </cell>
          <cell r="CF344">
            <v>22.4</v>
          </cell>
          <cell r="CG344">
            <v>20.2</v>
          </cell>
          <cell r="CH344">
            <v>36.4</v>
          </cell>
          <cell r="CI344">
            <v>32.799999999999997</v>
          </cell>
          <cell r="CJ344">
            <v>40.1</v>
          </cell>
          <cell r="CK344">
            <v>36.1</v>
          </cell>
          <cell r="CL344">
            <v>32.5</v>
          </cell>
          <cell r="CM344">
            <v>29.2</v>
          </cell>
          <cell r="CN344">
            <v>26.3</v>
          </cell>
          <cell r="CO344">
            <v>61.2</v>
          </cell>
          <cell r="CP344">
            <v>55.1</v>
          </cell>
          <cell r="CQ344">
            <v>61.4</v>
          </cell>
          <cell r="CR344">
            <v>55.3</v>
          </cell>
          <cell r="CS344">
            <v>71.5</v>
          </cell>
          <cell r="CT344">
            <v>64.400000000000006</v>
          </cell>
          <cell r="CU344">
            <v>57.9</v>
          </cell>
          <cell r="CV344">
            <v>52.1</v>
          </cell>
          <cell r="CW344">
            <v>46.9</v>
          </cell>
          <cell r="CX344">
            <v>58.6</v>
          </cell>
          <cell r="CY344">
            <v>52.7</v>
          </cell>
          <cell r="CZ344">
            <v>64.8</v>
          </cell>
          <cell r="DA344">
            <v>58.3</v>
          </cell>
          <cell r="DB344">
            <v>63.9</v>
          </cell>
          <cell r="DC344">
            <v>57.5</v>
          </cell>
          <cell r="DD344">
            <v>51.8</v>
          </cell>
          <cell r="DE344">
            <v>46.6</v>
          </cell>
          <cell r="DF344">
            <v>41.9</v>
          </cell>
          <cell r="DG344">
            <v>0</v>
          </cell>
          <cell r="DH344">
            <v>1</v>
          </cell>
          <cell r="DI344">
            <v>0</v>
          </cell>
          <cell r="DJ344">
            <v>1</v>
          </cell>
          <cell r="DK344">
            <v>0</v>
          </cell>
          <cell r="DL344">
            <v>1</v>
          </cell>
          <cell r="DM344">
            <v>1.1000000000000001</v>
          </cell>
          <cell r="DN344">
            <v>1.2</v>
          </cell>
          <cell r="DO344">
            <v>1.3</v>
          </cell>
          <cell r="DP344">
            <v>1.8</v>
          </cell>
          <cell r="DQ344">
            <v>2</v>
          </cell>
          <cell r="DR344">
            <v>0.8</v>
          </cell>
          <cell r="DS344">
            <v>0.9</v>
          </cell>
          <cell r="DT344">
            <v>0.3</v>
          </cell>
          <cell r="DU344">
            <v>0.3</v>
          </cell>
          <cell r="DV344">
            <v>0.4</v>
          </cell>
          <cell r="DW344">
            <v>0.4</v>
          </cell>
          <cell r="DX344">
            <v>0.4</v>
          </cell>
          <cell r="DY344">
            <v>0</v>
          </cell>
          <cell r="DZ344">
            <v>1</v>
          </cell>
          <cell r="EA344">
            <v>0</v>
          </cell>
          <cell r="EB344">
            <v>1</v>
          </cell>
          <cell r="EC344">
            <v>0</v>
          </cell>
          <cell r="ED344">
            <v>1</v>
          </cell>
          <cell r="EE344">
            <v>1.1000000000000001</v>
          </cell>
          <cell r="EF344">
            <v>1.2</v>
          </cell>
          <cell r="EG344">
            <v>1.3</v>
          </cell>
        </row>
        <row r="345">
          <cell r="A345" t="str">
            <v>02810328ELL and Former ELL</v>
          </cell>
          <cell r="B345" t="str">
            <v>02810328L</v>
          </cell>
          <cell r="C345" t="str">
            <v>0281</v>
          </cell>
          <cell r="D345" t="str">
            <v>02810328</v>
          </cell>
          <cell r="E345" t="str">
            <v>Springfield</v>
          </cell>
          <cell r="F345" t="str">
            <v>John F Kennedy Middle</v>
          </cell>
          <cell r="G345" t="str">
            <v>MS</v>
          </cell>
          <cell r="H345" t="str">
            <v>Springfield - John F Kennedy Middle (02810328)</v>
          </cell>
          <cell r="I345" t="str">
            <v>ELL and Former ELL</v>
          </cell>
          <cell r="J345" t="str">
            <v>02810328ELL and Former ELL</v>
          </cell>
          <cell r="K345" t="str">
            <v>--</v>
          </cell>
          <cell r="L345">
            <v>53.8</v>
          </cell>
          <cell r="M345">
            <v>57.7</v>
          </cell>
          <cell r="N345">
            <v>42.7</v>
          </cell>
          <cell r="O345">
            <v>61.5</v>
          </cell>
          <cell r="P345">
            <v>44.3</v>
          </cell>
          <cell r="Q345">
            <v>66.7</v>
          </cell>
          <cell r="R345">
            <v>70.5</v>
          </cell>
          <cell r="S345">
            <v>74.400000000000006</v>
          </cell>
          <cell r="T345">
            <v>78.2</v>
          </cell>
          <cell r="U345">
            <v>32.6</v>
          </cell>
          <cell r="V345">
            <v>38.200000000000003</v>
          </cell>
          <cell r="W345">
            <v>29.5</v>
          </cell>
          <cell r="X345">
            <v>43.8</v>
          </cell>
          <cell r="Y345">
            <v>32.5</v>
          </cell>
          <cell r="Z345">
            <v>50.8</v>
          </cell>
          <cell r="AA345">
            <v>56.4</v>
          </cell>
          <cell r="AB345">
            <v>62</v>
          </cell>
          <cell r="AC345">
            <v>67.599999999999994</v>
          </cell>
          <cell r="AD345">
            <v>25</v>
          </cell>
          <cell r="AE345">
            <v>31.3</v>
          </cell>
          <cell r="AF345">
            <v>26.4</v>
          </cell>
          <cell r="AG345">
            <v>37.5</v>
          </cell>
          <cell r="AH345">
            <v>30</v>
          </cell>
          <cell r="AI345">
            <v>45.1</v>
          </cell>
          <cell r="AJ345">
            <v>51.3</v>
          </cell>
          <cell r="AK345">
            <v>57.6</v>
          </cell>
          <cell r="AL345">
            <v>63.8</v>
          </cell>
          <cell r="AM345" t="str">
            <v>--</v>
          </cell>
          <cell r="AN345" t="str">
            <v>--</v>
          </cell>
          <cell r="AO345" t="str">
            <v>--</v>
          </cell>
          <cell r="AP345" t="str">
            <v>--</v>
          </cell>
          <cell r="AQ345" t="str">
            <v>--</v>
          </cell>
          <cell r="AR345" t="str">
            <v>--</v>
          </cell>
          <cell r="AS345" t="str">
            <v>--</v>
          </cell>
          <cell r="AT345" t="str">
            <v>--</v>
          </cell>
          <cell r="AU345" t="str">
            <v>--</v>
          </cell>
          <cell r="AV345" t="str">
            <v>--</v>
          </cell>
          <cell r="AW345" t="str">
            <v>--</v>
          </cell>
          <cell r="AX345" t="str">
            <v>--</v>
          </cell>
          <cell r="AY345" t="str">
            <v>--</v>
          </cell>
          <cell r="AZ345" t="str">
            <v>--</v>
          </cell>
          <cell r="BA345" t="str">
            <v>--</v>
          </cell>
          <cell r="BB345" t="str">
            <v>--</v>
          </cell>
          <cell r="BC345" t="str">
            <v>--</v>
          </cell>
          <cell r="BD345" t="str">
            <v>--</v>
          </cell>
          <cell r="BE345" t="str">
            <v>--</v>
          </cell>
          <cell r="BF345" t="str">
            <v>--</v>
          </cell>
          <cell r="BG345" t="str">
            <v>--</v>
          </cell>
          <cell r="BH345" t="str">
            <v>--</v>
          </cell>
          <cell r="BI345" t="str">
            <v>--</v>
          </cell>
          <cell r="BJ345" t="str">
            <v>--</v>
          </cell>
          <cell r="BK345" t="str">
            <v>--</v>
          </cell>
          <cell r="BL345" t="str">
            <v>--</v>
          </cell>
          <cell r="BM345" t="str">
            <v>--</v>
          </cell>
          <cell r="BN345">
            <v>33</v>
          </cell>
          <cell r="BO345">
            <v>43</v>
          </cell>
          <cell r="BP345">
            <v>26.5</v>
          </cell>
          <cell r="BQ345">
            <v>36.5</v>
          </cell>
          <cell r="BR345">
            <v>25</v>
          </cell>
          <cell r="BS345">
            <v>39.5</v>
          </cell>
          <cell r="BT345">
            <v>54</v>
          </cell>
          <cell r="BU345">
            <v>60</v>
          </cell>
          <cell r="BV345">
            <v>60</v>
          </cell>
          <cell r="BW345">
            <v>41.5</v>
          </cell>
          <cell r="BX345">
            <v>51</v>
          </cell>
          <cell r="BY345">
            <v>22</v>
          </cell>
          <cell r="BZ345">
            <v>32</v>
          </cell>
          <cell r="CA345">
            <v>35</v>
          </cell>
          <cell r="CB345">
            <v>49.5</v>
          </cell>
          <cell r="CC345">
            <v>60</v>
          </cell>
          <cell r="CD345">
            <v>60</v>
          </cell>
          <cell r="CE345">
            <v>60</v>
          </cell>
          <cell r="CF345">
            <v>36.1</v>
          </cell>
          <cell r="CG345">
            <v>32.5</v>
          </cell>
          <cell r="CH345">
            <v>55.6</v>
          </cell>
          <cell r="CI345">
            <v>50</v>
          </cell>
          <cell r="CJ345">
            <v>53.3</v>
          </cell>
          <cell r="CK345">
            <v>48</v>
          </cell>
          <cell r="CL345">
            <v>43.2</v>
          </cell>
          <cell r="CM345">
            <v>38.9</v>
          </cell>
          <cell r="CN345">
            <v>35</v>
          </cell>
          <cell r="CO345">
            <v>73.599999999999994</v>
          </cell>
          <cell r="CP345">
            <v>66.2</v>
          </cell>
          <cell r="CQ345">
            <v>77.8</v>
          </cell>
          <cell r="CR345">
            <v>70</v>
          </cell>
          <cell r="CS345">
            <v>79.599999999999994</v>
          </cell>
          <cell r="CT345">
            <v>71.599999999999994</v>
          </cell>
          <cell r="CU345">
            <v>64.5</v>
          </cell>
          <cell r="CV345">
            <v>58</v>
          </cell>
          <cell r="CW345">
            <v>52.2</v>
          </cell>
          <cell r="CX345">
            <v>85.7</v>
          </cell>
          <cell r="CY345">
            <v>73.599999999999994</v>
          </cell>
          <cell r="CZ345">
            <v>85.7</v>
          </cell>
          <cell r="DA345">
            <v>77.099999999999994</v>
          </cell>
          <cell r="DB345">
            <v>76.7</v>
          </cell>
          <cell r="DC345">
            <v>69</v>
          </cell>
          <cell r="DD345">
            <v>62.1</v>
          </cell>
          <cell r="DE345">
            <v>55.9</v>
          </cell>
          <cell r="DF345">
            <v>50.3</v>
          </cell>
          <cell r="DG345">
            <v>1.4</v>
          </cell>
          <cell r="DH345">
            <v>1.5</v>
          </cell>
          <cell r="DI345">
            <v>0</v>
          </cell>
          <cell r="DJ345">
            <v>1</v>
          </cell>
          <cell r="DK345">
            <v>0</v>
          </cell>
          <cell r="DL345">
            <v>1</v>
          </cell>
          <cell r="DM345">
            <v>1.1000000000000001</v>
          </cell>
          <cell r="DN345">
            <v>1.2</v>
          </cell>
          <cell r="DO345">
            <v>1.3</v>
          </cell>
          <cell r="DP345">
            <v>1.4</v>
          </cell>
          <cell r="DQ345">
            <v>1.5</v>
          </cell>
          <cell r="DR345">
            <v>0</v>
          </cell>
          <cell r="DS345">
            <v>1</v>
          </cell>
          <cell r="DT345">
            <v>1.1000000000000001</v>
          </cell>
          <cell r="DU345">
            <v>1.2</v>
          </cell>
          <cell r="DV345">
            <v>1.3</v>
          </cell>
          <cell r="DW345">
            <v>1.5</v>
          </cell>
          <cell r="DX345">
            <v>1.6</v>
          </cell>
          <cell r="DY345">
            <v>0</v>
          </cell>
          <cell r="DZ345">
            <v>1</v>
          </cell>
          <cell r="EA345">
            <v>0</v>
          </cell>
          <cell r="EB345">
            <v>1</v>
          </cell>
          <cell r="EC345">
            <v>0</v>
          </cell>
          <cell r="ED345">
            <v>1</v>
          </cell>
          <cell r="EE345">
            <v>1.1000000000000001</v>
          </cell>
          <cell r="EF345">
            <v>1.2</v>
          </cell>
          <cell r="EG345">
            <v>1.3</v>
          </cell>
        </row>
        <row r="346">
          <cell r="A346" t="str">
            <v>02810328Multi-race, Non-Hisp./Lat.</v>
          </cell>
          <cell r="B346" t="str">
            <v>02810328M</v>
          </cell>
          <cell r="C346" t="str">
            <v>0281</v>
          </cell>
          <cell r="D346" t="str">
            <v>02810328</v>
          </cell>
          <cell r="E346" t="str">
            <v>Springfield</v>
          </cell>
          <cell r="F346" t="str">
            <v>John F Kennedy Middle</v>
          </cell>
          <cell r="G346" t="str">
            <v>MS</v>
          </cell>
          <cell r="H346" t="str">
            <v>Springfield - John F Kennedy Middle (02810328)</v>
          </cell>
          <cell r="I346" t="str">
            <v>Multi-race, Non-Hisp./Lat.</v>
          </cell>
          <cell r="J346" t="str">
            <v>02810328Multi-race, Non-Hisp./Lat.</v>
          </cell>
          <cell r="K346" t="str">
            <v>Level 4</v>
          </cell>
          <cell r="L346">
            <v>82.5</v>
          </cell>
          <cell r="M346">
            <v>84</v>
          </cell>
          <cell r="N346">
            <v>70</v>
          </cell>
          <cell r="O346">
            <v>85.4</v>
          </cell>
          <cell r="P346">
            <v>65</v>
          </cell>
          <cell r="Q346">
            <v>86.9</v>
          </cell>
          <cell r="R346">
            <v>88.3</v>
          </cell>
          <cell r="S346">
            <v>89.8</v>
          </cell>
          <cell r="T346">
            <v>91.3</v>
          </cell>
          <cell r="U346">
            <v>47.6</v>
          </cell>
          <cell r="V346">
            <v>52</v>
          </cell>
          <cell r="W346">
            <v>62.5</v>
          </cell>
          <cell r="X346">
            <v>56.3</v>
          </cell>
          <cell r="Y346">
            <v>45</v>
          </cell>
          <cell r="Z346">
            <v>60.7</v>
          </cell>
          <cell r="AA346">
            <v>65.099999999999994</v>
          </cell>
          <cell r="AB346">
            <v>69.400000000000006</v>
          </cell>
          <cell r="AC346">
            <v>73.8</v>
          </cell>
          <cell r="AD346" t="str">
            <v>--</v>
          </cell>
          <cell r="AE346" t="str">
            <v>--</v>
          </cell>
          <cell r="AF346" t="str">
            <v>--</v>
          </cell>
          <cell r="AG346" t="str">
            <v>--</v>
          </cell>
          <cell r="AH346" t="str">
            <v>--</v>
          </cell>
          <cell r="AI346" t="str">
            <v>--</v>
          </cell>
          <cell r="AJ346" t="str">
            <v>--</v>
          </cell>
          <cell r="AK346" t="str">
            <v>--</v>
          </cell>
          <cell r="AL346" t="str">
            <v>--</v>
          </cell>
          <cell r="AM346" t="str">
            <v>--</v>
          </cell>
          <cell r="AN346" t="str">
            <v>--</v>
          </cell>
          <cell r="AO346" t="str">
            <v>--</v>
          </cell>
          <cell r="AP346" t="str">
            <v>--</v>
          </cell>
          <cell r="AQ346" t="str">
            <v>--</v>
          </cell>
          <cell r="AR346" t="str">
            <v>--</v>
          </cell>
          <cell r="AS346" t="str">
            <v>--</v>
          </cell>
          <cell r="AT346" t="str">
            <v>--</v>
          </cell>
          <cell r="AU346" t="str">
            <v>--</v>
          </cell>
          <cell r="AV346" t="str">
            <v>--</v>
          </cell>
          <cell r="AW346" t="str">
            <v>--</v>
          </cell>
          <cell r="AX346" t="str">
            <v>--</v>
          </cell>
          <cell r="AY346" t="str">
            <v>--</v>
          </cell>
          <cell r="AZ346" t="str">
            <v>--</v>
          </cell>
          <cell r="BA346" t="str">
            <v>--</v>
          </cell>
          <cell r="BB346" t="str">
            <v>--</v>
          </cell>
          <cell r="BC346" t="str">
            <v>--</v>
          </cell>
          <cell r="BD346" t="str">
            <v>--</v>
          </cell>
          <cell r="BE346" t="str">
            <v>--</v>
          </cell>
          <cell r="BF346" t="str">
            <v>--</v>
          </cell>
          <cell r="BG346" t="str">
            <v>--</v>
          </cell>
          <cell r="BH346" t="str">
            <v>--</v>
          </cell>
          <cell r="BI346" t="str">
            <v>--</v>
          </cell>
          <cell r="BJ346" t="str">
            <v>--</v>
          </cell>
          <cell r="BK346" t="str">
            <v>--</v>
          </cell>
          <cell r="BL346" t="str">
            <v>--</v>
          </cell>
          <cell r="BM346" t="str">
            <v>--</v>
          </cell>
          <cell r="BN346" t="str">
            <v>--</v>
          </cell>
          <cell r="BO346" t="str">
            <v>--</v>
          </cell>
          <cell r="BP346" t="str">
            <v>--</v>
          </cell>
          <cell r="BQ346" t="str">
            <v>--</v>
          </cell>
          <cell r="BR346" t="str">
            <v>--</v>
          </cell>
          <cell r="BS346" t="str">
            <v>--</v>
          </cell>
          <cell r="BT346" t="str">
            <v>--</v>
          </cell>
          <cell r="BU346" t="str">
            <v>--</v>
          </cell>
          <cell r="BV346" t="str">
            <v>--</v>
          </cell>
          <cell r="BW346" t="str">
            <v>--</v>
          </cell>
          <cell r="BX346" t="str">
            <v>--</v>
          </cell>
          <cell r="BY346" t="str">
            <v>--</v>
          </cell>
          <cell r="BZ346" t="str">
            <v>--</v>
          </cell>
          <cell r="CA346" t="str">
            <v>--</v>
          </cell>
          <cell r="CB346" t="str">
            <v>--</v>
          </cell>
          <cell r="CC346" t="str">
            <v>--</v>
          </cell>
          <cell r="CD346" t="str">
            <v>--</v>
          </cell>
          <cell r="CE346" t="str">
            <v>--</v>
          </cell>
          <cell r="CF346">
            <v>15.8</v>
          </cell>
          <cell r="CG346">
            <v>4.5</v>
          </cell>
          <cell r="CH346">
            <v>10</v>
          </cell>
          <cell r="CI346">
            <v>9</v>
          </cell>
          <cell r="CJ346">
            <v>25</v>
          </cell>
          <cell r="CK346">
            <v>22.5</v>
          </cell>
          <cell r="CL346">
            <v>20.3</v>
          </cell>
          <cell r="CM346">
            <v>18.2</v>
          </cell>
          <cell r="CN346">
            <v>16.399999999999999</v>
          </cell>
          <cell r="CO346">
            <v>36.799999999999997</v>
          </cell>
          <cell r="CP346">
            <v>42.8</v>
          </cell>
          <cell r="CQ346">
            <v>30</v>
          </cell>
          <cell r="CR346">
            <v>27</v>
          </cell>
          <cell r="CS346">
            <v>50</v>
          </cell>
          <cell r="CT346">
            <v>45</v>
          </cell>
          <cell r="CU346">
            <v>40.5</v>
          </cell>
          <cell r="CV346">
            <v>36.5</v>
          </cell>
          <cell r="CW346">
            <v>32.799999999999997</v>
          </cell>
          <cell r="CX346" t="str">
            <v>--</v>
          </cell>
          <cell r="CY346" t="str">
            <v>--</v>
          </cell>
          <cell r="CZ346" t="str">
            <v>--</v>
          </cell>
          <cell r="DA346" t="str">
            <v>--</v>
          </cell>
          <cell r="DB346" t="str">
            <v>--</v>
          </cell>
          <cell r="DC346" t="str">
            <v>--</v>
          </cell>
          <cell r="DD346" t="str">
            <v>--</v>
          </cell>
          <cell r="DE346" t="str">
            <v>--</v>
          </cell>
          <cell r="DF346" t="str">
            <v>--</v>
          </cell>
          <cell r="DG346">
            <v>10.5</v>
          </cell>
          <cell r="DH346">
            <v>1</v>
          </cell>
          <cell r="DI346">
            <v>5</v>
          </cell>
          <cell r="DJ346">
            <v>5.5</v>
          </cell>
          <cell r="DK346">
            <v>0</v>
          </cell>
          <cell r="DL346">
            <v>1</v>
          </cell>
          <cell r="DM346">
            <v>1.1000000000000001</v>
          </cell>
          <cell r="DN346">
            <v>1.2</v>
          </cell>
          <cell r="DO346">
            <v>1.3</v>
          </cell>
          <cell r="DP346">
            <v>10.5</v>
          </cell>
          <cell r="DQ346">
            <v>1</v>
          </cell>
          <cell r="DR346">
            <v>5</v>
          </cell>
          <cell r="DS346">
            <v>5.5</v>
          </cell>
          <cell r="DT346">
            <v>5</v>
          </cell>
          <cell r="DU346">
            <v>5.5</v>
          </cell>
          <cell r="DV346">
            <v>6.1</v>
          </cell>
          <cell r="DW346">
            <v>6.7</v>
          </cell>
          <cell r="DX346">
            <v>7.3</v>
          </cell>
          <cell r="DY346" t="str">
            <v>--</v>
          </cell>
          <cell r="DZ346" t="str">
            <v>--</v>
          </cell>
          <cell r="EA346" t="str">
            <v>--</v>
          </cell>
          <cell r="EB346" t="str">
            <v>--</v>
          </cell>
          <cell r="EC346" t="str">
            <v>--</v>
          </cell>
          <cell r="ED346" t="str">
            <v>--</v>
          </cell>
          <cell r="EE346" t="str">
            <v>--</v>
          </cell>
          <cell r="EF346" t="str">
            <v>--</v>
          </cell>
          <cell r="EG346" t="str">
            <v>--</v>
          </cell>
        </row>
        <row r="347">
          <cell r="A347" t="str">
            <v>02810328Amer. Ind. or Alaska Nat.</v>
          </cell>
          <cell r="B347" t="str">
            <v>02810328N</v>
          </cell>
          <cell r="C347" t="str">
            <v>0281</v>
          </cell>
          <cell r="D347" t="str">
            <v>02810328</v>
          </cell>
          <cell r="E347" t="str">
            <v>Springfield</v>
          </cell>
          <cell r="F347" t="str">
            <v>John F Kennedy Middle</v>
          </cell>
          <cell r="G347" t="str">
            <v>MS</v>
          </cell>
          <cell r="H347" t="str">
            <v>Springfield - John F Kennedy Middle (02810328)</v>
          </cell>
          <cell r="I347" t="str">
            <v>Amer. Ind. or Alaska Nat.</v>
          </cell>
          <cell r="J347" t="str">
            <v>02810328Amer. Ind. or Alaska Nat.</v>
          </cell>
          <cell r="K347" t="str">
            <v>--</v>
          </cell>
          <cell r="L347" t="str">
            <v>--</v>
          </cell>
          <cell r="M347" t="str">
            <v>--</v>
          </cell>
          <cell r="N347" t="str">
            <v>--</v>
          </cell>
          <cell r="O347" t="str">
            <v>--</v>
          </cell>
          <cell r="P347" t="str">
            <v>--</v>
          </cell>
          <cell r="Q347" t="str">
            <v>--</v>
          </cell>
          <cell r="R347" t="str">
            <v>--</v>
          </cell>
          <cell r="S347" t="str">
            <v>--</v>
          </cell>
          <cell r="T347" t="str">
            <v>--</v>
          </cell>
          <cell r="U347" t="str">
            <v>--</v>
          </cell>
          <cell r="V347" t="str">
            <v>--</v>
          </cell>
          <cell r="W347" t="str">
            <v>--</v>
          </cell>
          <cell r="X347" t="str">
            <v>--</v>
          </cell>
          <cell r="Y347" t="str">
            <v>--</v>
          </cell>
          <cell r="Z347" t="str">
            <v>--</v>
          </cell>
          <cell r="AA347" t="str">
            <v>--</v>
          </cell>
          <cell r="AB347" t="str">
            <v>--</v>
          </cell>
          <cell r="AC347" t="str">
            <v>--</v>
          </cell>
          <cell r="AD347" t="str">
            <v>--</v>
          </cell>
          <cell r="AE347" t="str">
            <v>--</v>
          </cell>
          <cell r="AF347" t="str">
            <v>--</v>
          </cell>
          <cell r="AG347" t="str">
            <v>--</v>
          </cell>
          <cell r="AH347" t="str">
            <v>--</v>
          </cell>
          <cell r="AI347" t="str">
            <v>--</v>
          </cell>
          <cell r="AJ347" t="str">
            <v>--</v>
          </cell>
          <cell r="AK347" t="str">
            <v>--</v>
          </cell>
          <cell r="AL347" t="str">
            <v>--</v>
          </cell>
          <cell r="AM347" t="str">
            <v>--</v>
          </cell>
          <cell r="AN347" t="str">
            <v>--</v>
          </cell>
          <cell r="AO347" t="str">
            <v>--</v>
          </cell>
          <cell r="AP347" t="str">
            <v>--</v>
          </cell>
          <cell r="AQ347" t="str">
            <v>--</v>
          </cell>
          <cell r="AR347" t="str">
            <v>--</v>
          </cell>
          <cell r="AS347" t="str">
            <v>--</v>
          </cell>
          <cell r="AT347" t="str">
            <v>--</v>
          </cell>
          <cell r="AU347" t="str">
            <v>--</v>
          </cell>
          <cell r="AV347" t="str">
            <v>--</v>
          </cell>
          <cell r="AW347" t="str">
            <v>--</v>
          </cell>
          <cell r="AX347" t="str">
            <v>--</v>
          </cell>
          <cell r="AY347" t="str">
            <v>--</v>
          </cell>
          <cell r="AZ347" t="str">
            <v>--</v>
          </cell>
          <cell r="BA347" t="str">
            <v>--</v>
          </cell>
          <cell r="BB347" t="str">
            <v>--</v>
          </cell>
          <cell r="BC347" t="str">
            <v>--</v>
          </cell>
          <cell r="BD347" t="str">
            <v>--</v>
          </cell>
          <cell r="BE347" t="str">
            <v>--</v>
          </cell>
          <cell r="BF347" t="str">
            <v>--</v>
          </cell>
          <cell r="BG347" t="str">
            <v>--</v>
          </cell>
          <cell r="BH347" t="str">
            <v>--</v>
          </cell>
          <cell r="BI347" t="str">
            <v>--</v>
          </cell>
          <cell r="BJ347" t="str">
            <v>--</v>
          </cell>
          <cell r="BK347" t="str">
            <v>--</v>
          </cell>
          <cell r="BL347" t="str">
            <v>--</v>
          </cell>
          <cell r="BM347" t="str">
            <v>--</v>
          </cell>
          <cell r="BN347" t="str">
            <v>--</v>
          </cell>
          <cell r="BO347" t="str">
            <v>--</v>
          </cell>
          <cell r="BP347" t="str">
            <v>--</v>
          </cell>
          <cell r="BQ347" t="str">
            <v>--</v>
          </cell>
          <cell r="BR347" t="str">
            <v>--</v>
          </cell>
          <cell r="BS347" t="str">
            <v>--</v>
          </cell>
          <cell r="BT347" t="str">
            <v>--</v>
          </cell>
          <cell r="BU347" t="str">
            <v>--</v>
          </cell>
          <cell r="BV347" t="str">
            <v>--</v>
          </cell>
          <cell r="BW347" t="str">
            <v>--</v>
          </cell>
          <cell r="BX347" t="str">
            <v>--</v>
          </cell>
          <cell r="BY347" t="str">
            <v>--</v>
          </cell>
          <cell r="BZ347" t="str">
            <v>--</v>
          </cell>
          <cell r="CA347" t="str">
            <v>--</v>
          </cell>
          <cell r="CB347" t="str">
            <v>--</v>
          </cell>
          <cell r="CC347" t="str">
            <v>--</v>
          </cell>
          <cell r="CD347" t="str">
            <v>--</v>
          </cell>
          <cell r="CE347" t="str">
            <v>--</v>
          </cell>
          <cell r="CF347" t="str">
            <v>--</v>
          </cell>
          <cell r="CG347" t="str">
            <v>--</v>
          </cell>
          <cell r="CH347" t="str">
            <v>--</v>
          </cell>
          <cell r="CI347" t="str">
            <v>--</v>
          </cell>
          <cell r="CJ347" t="str">
            <v>--</v>
          </cell>
          <cell r="CK347" t="str">
            <v>--</v>
          </cell>
          <cell r="CL347" t="str">
            <v>--</v>
          </cell>
          <cell r="CM347" t="str">
            <v>--</v>
          </cell>
          <cell r="CN347" t="str">
            <v>--</v>
          </cell>
          <cell r="CO347" t="str">
            <v>--</v>
          </cell>
          <cell r="CP347" t="str">
            <v>--</v>
          </cell>
          <cell r="CQ347" t="str">
            <v>--</v>
          </cell>
          <cell r="CR347" t="str">
            <v>--</v>
          </cell>
          <cell r="CS347" t="str">
            <v>--</v>
          </cell>
          <cell r="CT347" t="str">
            <v>--</v>
          </cell>
          <cell r="CU347" t="str">
            <v>--</v>
          </cell>
          <cell r="CV347" t="str">
            <v>--</v>
          </cell>
          <cell r="CW347" t="str">
            <v>--</v>
          </cell>
          <cell r="CX347" t="str">
            <v>--</v>
          </cell>
          <cell r="CY347" t="str">
            <v>--</v>
          </cell>
          <cell r="CZ347" t="str">
            <v>--</v>
          </cell>
          <cell r="DA347" t="str">
            <v>--</v>
          </cell>
          <cell r="DB347" t="str">
            <v>--</v>
          </cell>
          <cell r="DC347" t="str">
            <v>--</v>
          </cell>
          <cell r="DD347" t="str">
            <v>--</v>
          </cell>
          <cell r="DE347" t="str">
            <v>--</v>
          </cell>
          <cell r="DF347" t="str">
            <v>--</v>
          </cell>
          <cell r="DG347" t="str">
            <v>--</v>
          </cell>
          <cell r="DH347" t="str">
            <v>--</v>
          </cell>
          <cell r="DI347" t="str">
            <v>--</v>
          </cell>
          <cell r="DJ347" t="str">
            <v>--</v>
          </cell>
          <cell r="DK347" t="str">
            <v>--</v>
          </cell>
          <cell r="DL347" t="str">
            <v>--</v>
          </cell>
          <cell r="DM347" t="str">
            <v>--</v>
          </cell>
          <cell r="DN347" t="str">
            <v>--</v>
          </cell>
          <cell r="DO347" t="str">
            <v>--</v>
          </cell>
          <cell r="DP347" t="str">
            <v>--</v>
          </cell>
          <cell r="DQ347" t="str">
            <v>--</v>
          </cell>
          <cell r="DR347" t="str">
            <v>--</v>
          </cell>
          <cell r="DS347" t="str">
            <v>--</v>
          </cell>
          <cell r="DT347" t="str">
            <v>--</v>
          </cell>
          <cell r="DU347" t="str">
            <v>--</v>
          </cell>
          <cell r="DV347" t="str">
            <v>--</v>
          </cell>
          <cell r="DW347" t="str">
            <v>--</v>
          </cell>
          <cell r="DX347" t="str">
            <v>--</v>
          </cell>
          <cell r="DY347" t="str">
            <v>--</v>
          </cell>
          <cell r="DZ347" t="str">
            <v>--</v>
          </cell>
          <cell r="EA347" t="str">
            <v>--</v>
          </cell>
          <cell r="EB347" t="str">
            <v>--</v>
          </cell>
          <cell r="EC347" t="str">
            <v>--</v>
          </cell>
          <cell r="ED347" t="str">
            <v>--</v>
          </cell>
          <cell r="EE347" t="str">
            <v>--</v>
          </cell>
          <cell r="EF347" t="str">
            <v>--</v>
          </cell>
          <cell r="EG347" t="str">
            <v>--</v>
          </cell>
        </row>
        <row r="348">
          <cell r="A348" t="str">
            <v>02810328Nat. Haw. or Pacif. Isl.</v>
          </cell>
          <cell r="B348" t="str">
            <v>02810328P</v>
          </cell>
          <cell r="C348" t="str">
            <v>0281</v>
          </cell>
          <cell r="D348" t="str">
            <v>02810328</v>
          </cell>
          <cell r="E348" t="str">
            <v>Springfield</v>
          </cell>
          <cell r="F348" t="str">
            <v>John F Kennedy Middle</v>
          </cell>
          <cell r="G348" t="str">
            <v>MS</v>
          </cell>
          <cell r="H348" t="str">
            <v>Springfield - John F Kennedy Middle (02810328)</v>
          </cell>
          <cell r="I348" t="str">
            <v>Nat. Haw. or Pacif. Isl.</v>
          </cell>
          <cell r="J348" t="str">
            <v>02810328Nat. Haw. or Pacif. Isl.</v>
          </cell>
          <cell r="K348" t="str">
            <v>Level 4</v>
          </cell>
          <cell r="L348" t="str">
            <v>--</v>
          </cell>
          <cell r="M348" t="str">
            <v>--</v>
          </cell>
          <cell r="N348" t="str">
            <v>--</v>
          </cell>
          <cell r="O348" t="str">
            <v>--</v>
          </cell>
          <cell r="P348" t="str">
            <v>--</v>
          </cell>
          <cell r="Q348" t="str">
            <v>--</v>
          </cell>
          <cell r="R348" t="str">
            <v>--</v>
          </cell>
          <cell r="S348" t="str">
            <v>--</v>
          </cell>
          <cell r="T348" t="str">
            <v>--</v>
          </cell>
          <cell r="U348" t="str">
            <v>--</v>
          </cell>
          <cell r="V348" t="str">
            <v>--</v>
          </cell>
          <cell r="W348" t="str">
            <v>--</v>
          </cell>
          <cell r="X348" t="str">
            <v>--</v>
          </cell>
          <cell r="Y348" t="str">
            <v>--</v>
          </cell>
          <cell r="Z348" t="str">
            <v>--</v>
          </cell>
          <cell r="AA348" t="str">
            <v>--</v>
          </cell>
          <cell r="AB348" t="str">
            <v>--</v>
          </cell>
          <cell r="AC348" t="str">
            <v>--</v>
          </cell>
          <cell r="AD348" t="str">
            <v>--</v>
          </cell>
          <cell r="AE348" t="str">
            <v>--</v>
          </cell>
          <cell r="AF348" t="str">
            <v>--</v>
          </cell>
          <cell r="AG348" t="str">
            <v>--</v>
          </cell>
          <cell r="AH348" t="str">
            <v>--</v>
          </cell>
          <cell r="AI348" t="str">
            <v>--</v>
          </cell>
          <cell r="AJ348" t="str">
            <v>--</v>
          </cell>
          <cell r="AK348" t="str">
            <v>--</v>
          </cell>
          <cell r="AL348" t="str">
            <v>--</v>
          </cell>
          <cell r="AM348" t="str">
            <v>--</v>
          </cell>
          <cell r="AN348" t="str">
            <v>--</v>
          </cell>
          <cell r="AO348" t="str">
            <v>--</v>
          </cell>
          <cell r="AP348" t="str">
            <v>--</v>
          </cell>
          <cell r="AQ348" t="str">
            <v>--</v>
          </cell>
          <cell r="AR348" t="str">
            <v>--</v>
          </cell>
          <cell r="AS348" t="str">
            <v>--</v>
          </cell>
          <cell r="AT348" t="str">
            <v>--</v>
          </cell>
          <cell r="AU348" t="str">
            <v>--</v>
          </cell>
          <cell r="AV348" t="str">
            <v>--</v>
          </cell>
          <cell r="AW348" t="str">
            <v>--</v>
          </cell>
          <cell r="AX348" t="str">
            <v>--</v>
          </cell>
          <cell r="AY348" t="str">
            <v>--</v>
          </cell>
          <cell r="AZ348" t="str">
            <v>--</v>
          </cell>
          <cell r="BA348" t="str">
            <v>--</v>
          </cell>
          <cell r="BB348" t="str">
            <v>--</v>
          </cell>
          <cell r="BC348" t="str">
            <v>--</v>
          </cell>
          <cell r="BD348" t="str">
            <v>--</v>
          </cell>
          <cell r="BE348" t="str">
            <v>--</v>
          </cell>
          <cell r="BF348" t="str">
            <v>--</v>
          </cell>
          <cell r="BG348" t="str">
            <v>--</v>
          </cell>
          <cell r="BH348" t="str">
            <v>--</v>
          </cell>
          <cell r="BI348" t="str">
            <v>--</v>
          </cell>
          <cell r="BJ348" t="str">
            <v>--</v>
          </cell>
          <cell r="BK348" t="str">
            <v>--</v>
          </cell>
          <cell r="BL348" t="str">
            <v>--</v>
          </cell>
          <cell r="BM348" t="str">
            <v>--</v>
          </cell>
          <cell r="BN348" t="str">
            <v>--</v>
          </cell>
          <cell r="BO348" t="str">
            <v>--</v>
          </cell>
          <cell r="BP348" t="str">
            <v>--</v>
          </cell>
          <cell r="BQ348" t="str">
            <v>--</v>
          </cell>
          <cell r="BR348" t="str">
            <v>--</v>
          </cell>
          <cell r="BS348" t="str">
            <v>--</v>
          </cell>
          <cell r="BT348" t="str">
            <v>--</v>
          </cell>
          <cell r="BU348" t="str">
            <v>--</v>
          </cell>
          <cell r="BV348" t="str">
            <v>--</v>
          </cell>
          <cell r="BW348" t="str">
            <v>--</v>
          </cell>
          <cell r="BX348" t="str">
            <v>--</v>
          </cell>
          <cell r="BY348" t="str">
            <v>--</v>
          </cell>
          <cell r="BZ348" t="str">
            <v>--</v>
          </cell>
          <cell r="CA348" t="str">
            <v>--</v>
          </cell>
          <cell r="CB348" t="str">
            <v>--</v>
          </cell>
          <cell r="CC348" t="str">
            <v>--</v>
          </cell>
          <cell r="CD348" t="str">
            <v>--</v>
          </cell>
          <cell r="CE348" t="str">
            <v>--</v>
          </cell>
          <cell r="CF348" t="str">
            <v>--</v>
          </cell>
          <cell r="CG348" t="str">
            <v>--</v>
          </cell>
          <cell r="CH348" t="str">
            <v>--</v>
          </cell>
          <cell r="CI348" t="str">
            <v>--</v>
          </cell>
          <cell r="CJ348" t="str">
            <v>--</v>
          </cell>
          <cell r="CK348" t="str">
            <v>--</v>
          </cell>
          <cell r="CL348" t="str">
            <v>--</v>
          </cell>
          <cell r="CM348" t="str">
            <v>--</v>
          </cell>
          <cell r="CN348" t="str">
            <v>--</v>
          </cell>
          <cell r="CO348" t="str">
            <v>--</v>
          </cell>
          <cell r="CP348" t="str">
            <v>--</v>
          </cell>
          <cell r="CQ348" t="str">
            <v>--</v>
          </cell>
          <cell r="CR348" t="str">
            <v>--</v>
          </cell>
          <cell r="CS348" t="str">
            <v>--</v>
          </cell>
          <cell r="CT348" t="str">
            <v>--</v>
          </cell>
          <cell r="CU348" t="str">
            <v>--</v>
          </cell>
          <cell r="CV348" t="str">
            <v>--</v>
          </cell>
          <cell r="CW348" t="str">
            <v>--</v>
          </cell>
          <cell r="CX348" t="str">
            <v>--</v>
          </cell>
          <cell r="CY348" t="str">
            <v>--</v>
          </cell>
          <cell r="CZ348" t="str">
            <v>--</v>
          </cell>
          <cell r="DA348" t="str">
            <v>--</v>
          </cell>
          <cell r="DB348" t="str">
            <v>--</v>
          </cell>
          <cell r="DC348" t="str">
            <v>--</v>
          </cell>
          <cell r="DD348" t="str">
            <v>--</v>
          </cell>
          <cell r="DE348" t="str">
            <v>--</v>
          </cell>
          <cell r="DF348" t="str">
            <v>--</v>
          </cell>
          <cell r="DG348" t="str">
            <v>--</v>
          </cell>
          <cell r="DH348" t="str">
            <v>--</v>
          </cell>
          <cell r="DI348" t="str">
            <v>--</v>
          </cell>
          <cell r="DJ348" t="str">
            <v>--</v>
          </cell>
          <cell r="DK348" t="str">
            <v>--</v>
          </cell>
          <cell r="DL348" t="str">
            <v>--</v>
          </cell>
          <cell r="DM348" t="str">
            <v>--</v>
          </cell>
          <cell r="DN348" t="str">
            <v>--</v>
          </cell>
          <cell r="DO348" t="str">
            <v>--</v>
          </cell>
          <cell r="DP348" t="str">
            <v>--</v>
          </cell>
          <cell r="DQ348" t="str">
            <v>--</v>
          </cell>
          <cell r="DR348" t="str">
            <v>--</v>
          </cell>
          <cell r="DS348" t="str">
            <v>--</v>
          </cell>
          <cell r="DT348" t="str">
            <v>--</v>
          </cell>
          <cell r="DU348" t="str">
            <v>--</v>
          </cell>
          <cell r="DV348" t="str">
            <v>--</v>
          </cell>
          <cell r="DW348" t="str">
            <v>--</v>
          </cell>
          <cell r="DX348" t="str">
            <v>--</v>
          </cell>
          <cell r="DY348" t="str">
            <v>--</v>
          </cell>
          <cell r="DZ348" t="str">
            <v>--</v>
          </cell>
          <cell r="EA348" t="str">
            <v>--</v>
          </cell>
          <cell r="EB348" t="str">
            <v>--</v>
          </cell>
          <cell r="EC348" t="str">
            <v>--</v>
          </cell>
          <cell r="ED348" t="str">
            <v>--</v>
          </cell>
          <cell r="EE348" t="str">
            <v>--</v>
          </cell>
          <cell r="EF348" t="str">
            <v>--</v>
          </cell>
          <cell r="EG348" t="str">
            <v>--</v>
          </cell>
        </row>
        <row r="349">
          <cell r="A349" t="str">
            <v>02810328High needs</v>
          </cell>
          <cell r="B349" t="str">
            <v>02810328S</v>
          </cell>
          <cell r="C349" t="str">
            <v>0281</v>
          </cell>
          <cell r="D349" t="str">
            <v>02810328</v>
          </cell>
          <cell r="E349" t="str">
            <v>Springfield</v>
          </cell>
          <cell r="F349" t="str">
            <v>John F Kennedy Middle</v>
          </cell>
          <cell r="G349" t="str">
            <v>MS</v>
          </cell>
          <cell r="H349" t="str">
            <v>Springfield - John F Kennedy Middle (02810328)</v>
          </cell>
          <cell r="I349" t="str">
            <v>High needs</v>
          </cell>
          <cell r="J349" t="str">
            <v>02810328High needs</v>
          </cell>
          <cell r="K349" t="str">
            <v>Level 4</v>
          </cell>
          <cell r="L349">
            <v>68.900000000000006</v>
          </cell>
          <cell r="M349">
            <v>71.5</v>
          </cell>
          <cell r="N349">
            <v>61.2</v>
          </cell>
          <cell r="O349">
            <v>74.099999999999994</v>
          </cell>
          <cell r="P349">
            <v>58</v>
          </cell>
          <cell r="Q349">
            <v>78</v>
          </cell>
          <cell r="R349">
            <v>80.599999999999994</v>
          </cell>
          <cell r="S349">
            <v>83.2</v>
          </cell>
          <cell r="T349">
            <v>85.8</v>
          </cell>
          <cell r="U349">
            <v>44.3</v>
          </cell>
          <cell r="V349">
            <v>48.9</v>
          </cell>
          <cell r="W349">
            <v>42.3</v>
          </cell>
          <cell r="X349">
            <v>53.6</v>
          </cell>
          <cell r="Y349">
            <v>39</v>
          </cell>
          <cell r="Z349">
            <v>59.5</v>
          </cell>
          <cell r="AA349">
            <v>64.2</v>
          </cell>
          <cell r="AB349">
            <v>68.8</v>
          </cell>
          <cell r="AC349">
            <v>73.5</v>
          </cell>
          <cell r="AD349">
            <v>40.799999999999997</v>
          </cell>
          <cell r="AE349">
            <v>45.7</v>
          </cell>
          <cell r="AF349">
            <v>37.5</v>
          </cell>
          <cell r="AG349">
            <v>50.7</v>
          </cell>
          <cell r="AH349">
            <v>36.5</v>
          </cell>
          <cell r="AI349">
            <v>56.9</v>
          </cell>
          <cell r="AJ349">
            <v>61.8</v>
          </cell>
          <cell r="AK349">
            <v>66.8</v>
          </cell>
          <cell r="AL349">
            <v>71.7</v>
          </cell>
          <cell r="AM349" t="str">
            <v>--</v>
          </cell>
          <cell r="AN349" t="str">
            <v>--</v>
          </cell>
          <cell r="AO349" t="str">
            <v>--</v>
          </cell>
          <cell r="AP349" t="str">
            <v>--</v>
          </cell>
          <cell r="AQ349" t="str">
            <v>--</v>
          </cell>
          <cell r="AR349" t="str">
            <v>--</v>
          </cell>
          <cell r="AS349" t="str">
            <v>--</v>
          </cell>
          <cell r="AT349" t="str">
            <v>--</v>
          </cell>
          <cell r="AU349" t="str">
            <v>--</v>
          </cell>
          <cell r="AV349" t="str">
            <v>--</v>
          </cell>
          <cell r="AW349" t="str">
            <v>--</v>
          </cell>
          <cell r="AX349" t="str">
            <v>--</v>
          </cell>
          <cell r="AY349" t="str">
            <v>--</v>
          </cell>
          <cell r="AZ349" t="str">
            <v>--</v>
          </cell>
          <cell r="BA349" t="str">
            <v>--</v>
          </cell>
          <cell r="BB349" t="str">
            <v>--</v>
          </cell>
          <cell r="BC349" t="str">
            <v>--</v>
          </cell>
          <cell r="BD349" t="str">
            <v>--</v>
          </cell>
          <cell r="BE349" t="str">
            <v>--</v>
          </cell>
          <cell r="BF349" t="str">
            <v>--</v>
          </cell>
          <cell r="BG349" t="str">
            <v>--</v>
          </cell>
          <cell r="BH349" t="str">
            <v>--</v>
          </cell>
          <cell r="BI349" t="str">
            <v>--</v>
          </cell>
          <cell r="BJ349" t="str">
            <v>--</v>
          </cell>
          <cell r="BK349" t="str">
            <v>--</v>
          </cell>
          <cell r="BL349" t="str">
            <v>--</v>
          </cell>
          <cell r="BM349" t="str">
            <v>--</v>
          </cell>
          <cell r="BN349">
            <v>34</v>
          </cell>
          <cell r="BO349">
            <v>44</v>
          </cell>
          <cell r="BP349">
            <v>31</v>
          </cell>
          <cell r="BQ349">
            <v>41</v>
          </cell>
          <cell r="BR349">
            <v>30</v>
          </cell>
          <cell r="BS349">
            <v>44.5</v>
          </cell>
          <cell r="BT349">
            <v>59</v>
          </cell>
          <cell r="BU349">
            <v>60</v>
          </cell>
          <cell r="BV349">
            <v>60</v>
          </cell>
          <cell r="BW349">
            <v>36</v>
          </cell>
          <cell r="BX349">
            <v>46</v>
          </cell>
          <cell r="BY349">
            <v>26</v>
          </cell>
          <cell r="BZ349">
            <v>36</v>
          </cell>
          <cell r="CA349">
            <v>27</v>
          </cell>
          <cell r="CB349">
            <v>41.5</v>
          </cell>
          <cell r="CC349">
            <v>56</v>
          </cell>
          <cell r="CD349">
            <v>60</v>
          </cell>
          <cell r="CE349">
            <v>60</v>
          </cell>
          <cell r="CF349">
            <v>20.6</v>
          </cell>
          <cell r="CG349">
            <v>18.5</v>
          </cell>
          <cell r="CH349">
            <v>32</v>
          </cell>
          <cell r="CI349">
            <v>28.8</v>
          </cell>
          <cell r="CJ349">
            <v>36.799999999999997</v>
          </cell>
          <cell r="CK349">
            <v>33.1</v>
          </cell>
          <cell r="CL349">
            <v>29.8</v>
          </cell>
          <cell r="CM349">
            <v>26.8</v>
          </cell>
          <cell r="CN349">
            <v>24.1</v>
          </cell>
          <cell r="CO349">
            <v>57.3</v>
          </cell>
          <cell r="CP349">
            <v>51.6</v>
          </cell>
          <cell r="CQ349">
            <v>57</v>
          </cell>
          <cell r="CR349">
            <v>51.3</v>
          </cell>
          <cell r="CS349">
            <v>65.400000000000006</v>
          </cell>
          <cell r="CT349">
            <v>58.9</v>
          </cell>
          <cell r="CU349">
            <v>53</v>
          </cell>
          <cell r="CV349">
            <v>47.7</v>
          </cell>
          <cell r="CW349">
            <v>42.9</v>
          </cell>
          <cell r="CX349">
            <v>54.2</v>
          </cell>
          <cell r="CY349">
            <v>48.8</v>
          </cell>
          <cell r="CZ349">
            <v>63.1</v>
          </cell>
          <cell r="DA349">
            <v>56.8</v>
          </cell>
          <cell r="DB349">
            <v>62.3</v>
          </cell>
          <cell r="DC349">
            <v>56.1</v>
          </cell>
          <cell r="DD349">
            <v>50.5</v>
          </cell>
          <cell r="DE349">
            <v>45.4</v>
          </cell>
          <cell r="DF349">
            <v>40.9</v>
          </cell>
          <cell r="DG349">
            <v>1.2</v>
          </cell>
          <cell r="DH349">
            <v>1.3</v>
          </cell>
          <cell r="DI349">
            <v>0.7</v>
          </cell>
          <cell r="DJ349">
            <v>0.8</v>
          </cell>
          <cell r="DK349">
            <v>0.6</v>
          </cell>
          <cell r="DL349">
            <v>0.7</v>
          </cell>
          <cell r="DM349">
            <v>0.7</v>
          </cell>
          <cell r="DN349">
            <v>0.8</v>
          </cell>
          <cell r="DO349">
            <v>0.9</v>
          </cell>
          <cell r="DP349">
            <v>3.1</v>
          </cell>
          <cell r="DQ349">
            <v>3.4</v>
          </cell>
          <cell r="DR349">
            <v>1.9</v>
          </cell>
          <cell r="DS349">
            <v>2.1</v>
          </cell>
          <cell r="DT349">
            <v>0.7</v>
          </cell>
          <cell r="DU349">
            <v>0.8</v>
          </cell>
          <cell r="DV349">
            <v>0.8</v>
          </cell>
          <cell r="DW349">
            <v>0.9</v>
          </cell>
          <cell r="DX349">
            <v>1</v>
          </cell>
          <cell r="DY349">
            <v>0</v>
          </cell>
          <cell r="DZ349">
            <v>1</v>
          </cell>
          <cell r="EA349">
            <v>0</v>
          </cell>
          <cell r="EB349">
            <v>1</v>
          </cell>
          <cell r="EC349">
            <v>0</v>
          </cell>
          <cell r="ED349">
            <v>1</v>
          </cell>
          <cell r="EE349">
            <v>1.1000000000000001</v>
          </cell>
          <cell r="EF349">
            <v>1.2</v>
          </cell>
          <cell r="EG349">
            <v>1.3</v>
          </cell>
        </row>
        <row r="350">
          <cell r="A350" t="str">
            <v>02810328All students</v>
          </cell>
          <cell r="B350" t="str">
            <v>02810328T</v>
          </cell>
          <cell r="C350" t="str">
            <v>0281</v>
          </cell>
          <cell r="D350" t="str">
            <v>02810328</v>
          </cell>
          <cell r="E350" t="str">
            <v>Springfield</v>
          </cell>
          <cell r="F350" t="str">
            <v>John F Kennedy Middle</v>
          </cell>
          <cell r="G350" t="str">
            <v>MS</v>
          </cell>
          <cell r="H350" t="str">
            <v>Springfield - John F Kennedy Middle (02810328)</v>
          </cell>
          <cell r="I350" t="str">
            <v>All students</v>
          </cell>
          <cell r="J350" t="str">
            <v>02810328All students</v>
          </cell>
          <cell r="K350" t="str">
            <v>Level 4</v>
          </cell>
          <cell r="L350">
            <v>69.400000000000006</v>
          </cell>
          <cell r="M350">
            <v>72</v>
          </cell>
          <cell r="N350">
            <v>61.6</v>
          </cell>
          <cell r="O350">
            <v>74.5</v>
          </cell>
          <cell r="P350">
            <v>58.7</v>
          </cell>
          <cell r="Q350">
            <v>78.400000000000006</v>
          </cell>
          <cell r="R350">
            <v>80.900000000000006</v>
          </cell>
          <cell r="S350">
            <v>83.5</v>
          </cell>
          <cell r="T350">
            <v>86</v>
          </cell>
          <cell r="U350">
            <v>44.5</v>
          </cell>
          <cell r="V350">
            <v>49.1</v>
          </cell>
          <cell r="W350">
            <v>42.5</v>
          </cell>
          <cell r="X350">
            <v>53.8</v>
          </cell>
          <cell r="Y350">
            <v>39.5</v>
          </cell>
          <cell r="Z350">
            <v>59.7</v>
          </cell>
          <cell r="AA350">
            <v>64.3</v>
          </cell>
          <cell r="AB350">
            <v>68.900000000000006</v>
          </cell>
          <cell r="AC350">
            <v>73.599999999999994</v>
          </cell>
          <cell r="AD350">
            <v>41.4</v>
          </cell>
          <cell r="AE350">
            <v>46.3</v>
          </cell>
          <cell r="AF350">
            <v>37.5</v>
          </cell>
          <cell r="AG350">
            <v>51.2</v>
          </cell>
          <cell r="AH350">
            <v>37.4</v>
          </cell>
          <cell r="AI350">
            <v>57.4</v>
          </cell>
          <cell r="AJ350">
            <v>62.2</v>
          </cell>
          <cell r="AK350">
            <v>67.099999999999994</v>
          </cell>
          <cell r="AL350">
            <v>72</v>
          </cell>
          <cell r="AM350" t="str">
            <v>--</v>
          </cell>
          <cell r="AN350" t="str">
            <v>--</v>
          </cell>
          <cell r="AO350" t="str">
            <v>--</v>
          </cell>
          <cell r="AP350" t="str">
            <v>--</v>
          </cell>
          <cell r="AQ350" t="str">
            <v>--</v>
          </cell>
          <cell r="AR350" t="str">
            <v>--</v>
          </cell>
          <cell r="AS350" t="str">
            <v>--</v>
          </cell>
          <cell r="AT350" t="str">
            <v>--</v>
          </cell>
          <cell r="AU350" t="str">
            <v>--</v>
          </cell>
          <cell r="AV350" t="str">
            <v>--</v>
          </cell>
          <cell r="AW350" t="str">
            <v>--</v>
          </cell>
          <cell r="AX350" t="str">
            <v>--</v>
          </cell>
          <cell r="AY350" t="str">
            <v>--</v>
          </cell>
          <cell r="AZ350" t="str">
            <v>--</v>
          </cell>
          <cell r="BA350" t="str">
            <v>--</v>
          </cell>
          <cell r="BB350" t="str">
            <v>--</v>
          </cell>
          <cell r="BC350" t="str">
            <v>--</v>
          </cell>
          <cell r="BD350" t="str">
            <v>--</v>
          </cell>
          <cell r="BE350" t="str">
            <v>--</v>
          </cell>
          <cell r="BF350" t="str">
            <v>--</v>
          </cell>
          <cell r="BG350" t="str">
            <v>--</v>
          </cell>
          <cell r="BH350" t="str">
            <v>--</v>
          </cell>
          <cell r="BI350" t="str">
            <v>--</v>
          </cell>
          <cell r="BJ350" t="str">
            <v>--</v>
          </cell>
          <cell r="BK350" t="str">
            <v>--</v>
          </cell>
          <cell r="BL350" t="str">
            <v>--</v>
          </cell>
          <cell r="BM350" t="str">
            <v>--</v>
          </cell>
          <cell r="BN350">
            <v>34</v>
          </cell>
          <cell r="BO350">
            <v>44</v>
          </cell>
          <cell r="BP350">
            <v>31</v>
          </cell>
          <cell r="BQ350">
            <v>41</v>
          </cell>
          <cell r="BR350">
            <v>31</v>
          </cell>
          <cell r="BS350">
            <v>45.5</v>
          </cell>
          <cell r="BT350">
            <v>60</v>
          </cell>
          <cell r="BU350">
            <v>60</v>
          </cell>
          <cell r="BV350">
            <v>60</v>
          </cell>
          <cell r="BW350">
            <v>35</v>
          </cell>
          <cell r="BX350">
            <v>45</v>
          </cell>
          <cell r="BY350">
            <v>26</v>
          </cell>
          <cell r="BZ350">
            <v>36</v>
          </cell>
          <cell r="CA350">
            <v>26</v>
          </cell>
          <cell r="CB350">
            <v>40.5</v>
          </cell>
          <cell r="CC350">
            <v>55</v>
          </cell>
          <cell r="CD350">
            <v>60</v>
          </cell>
          <cell r="CE350">
            <v>60</v>
          </cell>
          <cell r="CF350">
            <v>20.6</v>
          </cell>
          <cell r="CG350">
            <v>18.5</v>
          </cell>
          <cell r="CH350">
            <v>31.2</v>
          </cell>
          <cell r="CI350">
            <v>28.1</v>
          </cell>
          <cell r="CJ350">
            <v>35.700000000000003</v>
          </cell>
          <cell r="CK350">
            <v>32.1</v>
          </cell>
          <cell r="CL350">
            <v>28.9</v>
          </cell>
          <cell r="CM350">
            <v>26</v>
          </cell>
          <cell r="CN350">
            <v>23.4</v>
          </cell>
          <cell r="CO350">
            <v>57.3</v>
          </cell>
          <cell r="CP350">
            <v>51.6</v>
          </cell>
          <cell r="CQ350">
            <v>56.7</v>
          </cell>
          <cell r="CR350">
            <v>51</v>
          </cell>
          <cell r="CS350">
            <v>64.400000000000006</v>
          </cell>
          <cell r="CT350">
            <v>58</v>
          </cell>
          <cell r="CU350">
            <v>52.2</v>
          </cell>
          <cell r="CV350">
            <v>46.9</v>
          </cell>
          <cell r="CW350">
            <v>42.3</v>
          </cell>
          <cell r="CX350">
            <v>52.8</v>
          </cell>
          <cell r="CY350">
            <v>47.5</v>
          </cell>
          <cell r="CZ350">
            <v>62.8</v>
          </cell>
          <cell r="DA350">
            <v>56.5</v>
          </cell>
          <cell r="DB350">
            <v>61.5</v>
          </cell>
          <cell r="DC350">
            <v>55.4</v>
          </cell>
          <cell r="DD350">
            <v>49.8</v>
          </cell>
          <cell r="DE350">
            <v>44.8</v>
          </cell>
          <cell r="DF350">
            <v>40.4</v>
          </cell>
          <cell r="DG350">
            <v>1.4</v>
          </cell>
          <cell r="DH350">
            <v>1.5</v>
          </cell>
          <cell r="DI350">
            <v>0.8</v>
          </cell>
          <cell r="DJ350">
            <v>0.9</v>
          </cell>
          <cell r="DK350">
            <v>0.9</v>
          </cell>
          <cell r="DL350">
            <v>1</v>
          </cell>
          <cell r="DM350">
            <v>1.1000000000000001</v>
          </cell>
          <cell r="DN350">
            <v>1.2</v>
          </cell>
          <cell r="DO350">
            <v>1.3</v>
          </cell>
          <cell r="DP350">
            <v>3.3</v>
          </cell>
          <cell r="DQ350">
            <v>3.6</v>
          </cell>
          <cell r="DR350">
            <v>2</v>
          </cell>
          <cell r="DS350">
            <v>2.2000000000000002</v>
          </cell>
          <cell r="DT350">
            <v>1.2</v>
          </cell>
          <cell r="DU350">
            <v>1.3</v>
          </cell>
          <cell r="DV350">
            <v>1.5</v>
          </cell>
          <cell r="DW350">
            <v>1.6</v>
          </cell>
          <cell r="DX350">
            <v>1.8</v>
          </cell>
          <cell r="DY350">
            <v>0.6</v>
          </cell>
          <cell r="DZ350">
            <v>0.7</v>
          </cell>
          <cell r="EA350">
            <v>0</v>
          </cell>
          <cell r="EB350">
            <v>1</v>
          </cell>
          <cell r="EC350">
            <v>0</v>
          </cell>
          <cell r="ED350">
            <v>1</v>
          </cell>
          <cell r="EE350">
            <v>1.1000000000000001</v>
          </cell>
          <cell r="EF350">
            <v>1.2</v>
          </cell>
          <cell r="EG350">
            <v>1.3</v>
          </cell>
        </row>
        <row r="351">
          <cell r="A351" t="str">
            <v>02810330Asian</v>
          </cell>
          <cell r="B351" t="str">
            <v>02810330A</v>
          </cell>
          <cell r="C351" t="str">
            <v>0281</v>
          </cell>
          <cell r="D351" t="str">
            <v>02810330</v>
          </cell>
          <cell r="E351" t="str">
            <v>Springfield</v>
          </cell>
          <cell r="F351" t="str">
            <v>M Marcus Kiley Middle</v>
          </cell>
          <cell r="G351" t="str">
            <v>MS</v>
          </cell>
          <cell r="H351" t="str">
            <v>Springfield - M Marcus Kiley Middle (02810330)</v>
          </cell>
          <cell r="I351" t="str">
            <v>Asian</v>
          </cell>
          <cell r="J351" t="str">
            <v>02810330Asian</v>
          </cell>
          <cell r="K351" t="str">
            <v>--</v>
          </cell>
          <cell r="L351">
            <v>82.4</v>
          </cell>
          <cell r="M351" t="str">
            <v>--</v>
          </cell>
          <cell r="N351">
            <v>85.9</v>
          </cell>
          <cell r="O351" t="str">
            <v>--</v>
          </cell>
          <cell r="P351">
            <v>82.4</v>
          </cell>
          <cell r="Q351">
            <v>83.9</v>
          </cell>
          <cell r="R351">
            <v>85.3</v>
          </cell>
          <cell r="S351">
            <v>86.8</v>
          </cell>
          <cell r="T351">
            <v>88.3</v>
          </cell>
          <cell r="U351">
            <v>82.4</v>
          </cell>
          <cell r="V351" t="str">
            <v>--</v>
          </cell>
          <cell r="W351">
            <v>85.9</v>
          </cell>
          <cell r="X351" t="str">
            <v>--</v>
          </cell>
          <cell r="Y351">
            <v>82.4</v>
          </cell>
          <cell r="Z351">
            <v>83.9</v>
          </cell>
          <cell r="AA351">
            <v>85.3</v>
          </cell>
          <cell r="AB351">
            <v>86.8</v>
          </cell>
          <cell r="AC351">
            <v>88.3</v>
          </cell>
          <cell r="AD351" t="str">
            <v>--</v>
          </cell>
          <cell r="AE351" t="str">
            <v>--</v>
          </cell>
          <cell r="AF351" t="str">
            <v>--</v>
          </cell>
          <cell r="AG351" t="str">
            <v>--</v>
          </cell>
          <cell r="AH351" t="str">
            <v>--</v>
          </cell>
          <cell r="AI351" t="str">
            <v>--</v>
          </cell>
          <cell r="AJ351" t="str">
            <v>--</v>
          </cell>
          <cell r="AK351" t="str">
            <v>--</v>
          </cell>
          <cell r="AL351" t="str">
            <v>--</v>
          </cell>
          <cell r="AM351" t="str">
            <v>--</v>
          </cell>
          <cell r="AN351" t="str">
            <v>--</v>
          </cell>
          <cell r="AO351" t="str">
            <v>--</v>
          </cell>
          <cell r="AP351" t="str">
            <v>--</v>
          </cell>
          <cell r="AQ351" t="str">
            <v>--</v>
          </cell>
          <cell r="AR351" t="str">
            <v>--</v>
          </cell>
          <cell r="AS351" t="str">
            <v>--</v>
          </cell>
          <cell r="AT351" t="str">
            <v>--</v>
          </cell>
          <cell r="AU351" t="str">
            <v>--</v>
          </cell>
          <cell r="AV351" t="str">
            <v>--</v>
          </cell>
          <cell r="AW351" t="str">
            <v>--</v>
          </cell>
          <cell r="AX351" t="str">
            <v>--</v>
          </cell>
          <cell r="AY351" t="str">
            <v>--</v>
          </cell>
          <cell r="AZ351" t="str">
            <v>--</v>
          </cell>
          <cell r="BA351" t="str">
            <v>--</v>
          </cell>
          <cell r="BB351" t="str">
            <v>--</v>
          </cell>
          <cell r="BC351" t="str">
            <v>--</v>
          </cell>
          <cell r="BD351" t="str">
            <v>--</v>
          </cell>
          <cell r="BE351" t="str">
            <v>--</v>
          </cell>
          <cell r="BF351" t="str">
            <v>--</v>
          </cell>
          <cell r="BG351" t="str">
            <v>--</v>
          </cell>
          <cell r="BH351" t="str">
            <v>--</v>
          </cell>
          <cell r="BI351" t="str">
            <v>--</v>
          </cell>
          <cell r="BJ351" t="str">
            <v>--</v>
          </cell>
          <cell r="BK351" t="str">
            <v>--</v>
          </cell>
          <cell r="BL351" t="str">
            <v>--</v>
          </cell>
          <cell r="BM351" t="str">
            <v>--</v>
          </cell>
          <cell r="BN351" t="str">
            <v>--</v>
          </cell>
          <cell r="BO351" t="str">
            <v>--</v>
          </cell>
          <cell r="BP351" t="str">
            <v>--</v>
          </cell>
          <cell r="BQ351" t="str">
            <v>--</v>
          </cell>
          <cell r="BR351" t="str">
            <v>--</v>
          </cell>
          <cell r="BS351" t="str">
            <v>--</v>
          </cell>
          <cell r="BT351" t="str">
            <v>--</v>
          </cell>
          <cell r="BU351" t="str">
            <v>--</v>
          </cell>
          <cell r="BV351" t="str">
            <v>--</v>
          </cell>
          <cell r="BW351" t="str">
            <v>--</v>
          </cell>
          <cell r="BX351" t="str">
            <v>--</v>
          </cell>
          <cell r="BY351" t="str">
            <v>--</v>
          </cell>
          <cell r="BZ351" t="str">
            <v>--</v>
          </cell>
          <cell r="CA351" t="str">
            <v>--</v>
          </cell>
          <cell r="CB351" t="str">
            <v>--</v>
          </cell>
          <cell r="CC351" t="str">
            <v>--</v>
          </cell>
          <cell r="CD351" t="str">
            <v>--</v>
          </cell>
          <cell r="CE351" t="str">
            <v>--</v>
          </cell>
          <cell r="CF351">
            <v>25</v>
          </cell>
          <cell r="CG351" t="str">
            <v>--</v>
          </cell>
          <cell r="CH351">
            <v>0</v>
          </cell>
          <cell r="CI351" t="str">
            <v>--</v>
          </cell>
          <cell r="CJ351">
            <v>3.7</v>
          </cell>
          <cell r="CK351">
            <v>3.3</v>
          </cell>
          <cell r="CL351">
            <v>3</v>
          </cell>
          <cell r="CM351">
            <v>2.7</v>
          </cell>
          <cell r="CN351">
            <v>2.4</v>
          </cell>
          <cell r="CO351">
            <v>25</v>
          </cell>
          <cell r="CP351" t="str">
            <v>--</v>
          </cell>
          <cell r="CQ351">
            <v>6.3</v>
          </cell>
          <cell r="CR351" t="str">
            <v>--</v>
          </cell>
          <cell r="CS351">
            <v>11.1</v>
          </cell>
          <cell r="CT351">
            <v>10</v>
          </cell>
          <cell r="CU351">
            <v>9</v>
          </cell>
          <cell r="CV351">
            <v>8.1</v>
          </cell>
          <cell r="CW351">
            <v>7.3</v>
          </cell>
          <cell r="CX351" t="str">
            <v>--</v>
          </cell>
          <cell r="CY351" t="str">
            <v>--</v>
          </cell>
          <cell r="CZ351" t="str">
            <v>--</v>
          </cell>
          <cell r="DA351" t="str">
            <v>--</v>
          </cell>
          <cell r="DB351" t="str">
            <v>--</v>
          </cell>
          <cell r="DC351" t="str">
            <v>--</v>
          </cell>
          <cell r="DD351" t="str">
            <v>--</v>
          </cell>
          <cell r="DE351" t="str">
            <v>--</v>
          </cell>
          <cell r="DF351" t="str">
            <v>--</v>
          </cell>
          <cell r="DG351">
            <v>12.5</v>
          </cell>
          <cell r="DH351" t="str">
            <v>--</v>
          </cell>
          <cell r="DI351">
            <v>12.5</v>
          </cell>
          <cell r="DJ351" t="str">
            <v>--</v>
          </cell>
          <cell r="DK351">
            <v>3.7</v>
          </cell>
          <cell r="DL351">
            <v>4.0999999999999996</v>
          </cell>
          <cell r="DM351">
            <v>4.5</v>
          </cell>
          <cell r="DN351">
            <v>4.9000000000000004</v>
          </cell>
          <cell r="DO351">
            <v>5.4</v>
          </cell>
          <cell r="DP351">
            <v>12.5</v>
          </cell>
          <cell r="DQ351" t="str">
            <v>--</v>
          </cell>
          <cell r="DR351">
            <v>18.8</v>
          </cell>
          <cell r="DS351" t="str">
            <v>--</v>
          </cell>
          <cell r="DT351">
            <v>29.6</v>
          </cell>
          <cell r="DU351">
            <v>32.6</v>
          </cell>
          <cell r="DV351">
            <v>35.799999999999997</v>
          </cell>
          <cell r="DW351">
            <v>39.4</v>
          </cell>
          <cell r="DX351">
            <v>43.3</v>
          </cell>
          <cell r="DY351" t="str">
            <v>--</v>
          </cell>
          <cell r="DZ351" t="str">
            <v>--</v>
          </cell>
          <cell r="EA351" t="str">
            <v>--</v>
          </cell>
          <cell r="EB351" t="str">
            <v>--</v>
          </cell>
          <cell r="EC351" t="str">
            <v>--</v>
          </cell>
          <cell r="ED351" t="str">
            <v>--</v>
          </cell>
          <cell r="EE351" t="str">
            <v>--</v>
          </cell>
          <cell r="EF351" t="str">
            <v>--</v>
          </cell>
          <cell r="EG351" t="str">
            <v>--</v>
          </cell>
        </row>
        <row r="352">
          <cell r="A352" t="str">
            <v>02810330Afr. Amer/Black</v>
          </cell>
          <cell r="B352" t="str">
            <v>02810330B</v>
          </cell>
          <cell r="C352" t="str">
            <v>0281</v>
          </cell>
          <cell r="D352" t="str">
            <v>02810330</v>
          </cell>
          <cell r="E352" t="str">
            <v>Springfield</v>
          </cell>
          <cell r="F352" t="str">
            <v>M Marcus Kiley Middle</v>
          </cell>
          <cell r="G352" t="str">
            <v>MS</v>
          </cell>
          <cell r="H352" t="str">
            <v>Springfield - M Marcus Kiley Middle (02810330)</v>
          </cell>
          <cell r="I352" t="str">
            <v>Afr. Amer/Black</v>
          </cell>
          <cell r="J352" t="str">
            <v>02810330Afr. Amer/Black</v>
          </cell>
          <cell r="K352" t="str">
            <v>--</v>
          </cell>
          <cell r="L352">
            <v>67.5</v>
          </cell>
          <cell r="M352">
            <v>70.2</v>
          </cell>
          <cell r="N352">
            <v>74.8</v>
          </cell>
          <cell r="O352">
            <v>72.900000000000006</v>
          </cell>
          <cell r="P352">
            <v>68.5</v>
          </cell>
          <cell r="Q352">
            <v>76.900000000000006</v>
          </cell>
          <cell r="R352">
            <v>79.599999999999994</v>
          </cell>
          <cell r="S352">
            <v>82.3</v>
          </cell>
          <cell r="T352">
            <v>85.1</v>
          </cell>
          <cell r="U352">
            <v>41.1</v>
          </cell>
          <cell r="V352">
            <v>46</v>
          </cell>
          <cell r="W352">
            <v>46.2</v>
          </cell>
          <cell r="X352">
            <v>50.9</v>
          </cell>
          <cell r="Y352">
            <v>42.1</v>
          </cell>
          <cell r="Z352">
            <v>57.1</v>
          </cell>
          <cell r="AA352">
            <v>62</v>
          </cell>
          <cell r="AB352">
            <v>66.900000000000006</v>
          </cell>
          <cell r="AC352">
            <v>71.900000000000006</v>
          </cell>
          <cell r="AD352">
            <v>37.799999999999997</v>
          </cell>
          <cell r="AE352">
            <v>43</v>
          </cell>
          <cell r="AF352">
            <v>38.299999999999997</v>
          </cell>
          <cell r="AG352">
            <v>48.2</v>
          </cell>
          <cell r="AH352">
            <v>34.299999999999997</v>
          </cell>
          <cell r="AI352">
            <v>54.7</v>
          </cell>
          <cell r="AJ352">
            <v>59.8</v>
          </cell>
          <cell r="AK352">
            <v>65</v>
          </cell>
          <cell r="AL352">
            <v>70.2</v>
          </cell>
          <cell r="AM352" t="str">
            <v>--</v>
          </cell>
          <cell r="AN352" t="str">
            <v>--</v>
          </cell>
          <cell r="AO352" t="str">
            <v>--</v>
          </cell>
          <cell r="AP352" t="str">
            <v>--</v>
          </cell>
          <cell r="AQ352" t="str">
            <v>--</v>
          </cell>
          <cell r="AR352" t="str">
            <v>--</v>
          </cell>
          <cell r="AS352" t="str">
            <v>--</v>
          </cell>
          <cell r="AT352" t="str">
            <v>--</v>
          </cell>
          <cell r="AU352" t="str">
            <v>--</v>
          </cell>
          <cell r="AV352" t="str">
            <v>--</v>
          </cell>
          <cell r="AW352" t="str">
            <v>--</v>
          </cell>
          <cell r="AX352" t="str">
            <v>--</v>
          </cell>
          <cell r="AY352" t="str">
            <v>--</v>
          </cell>
          <cell r="AZ352" t="str">
            <v>--</v>
          </cell>
          <cell r="BA352" t="str">
            <v>--</v>
          </cell>
          <cell r="BB352" t="str">
            <v>--</v>
          </cell>
          <cell r="BC352" t="str">
            <v>--</v>
          </cell>
          <cell r="BD352" t="str">
            <v>--</v>
          </cell>
          <cell r="BE352" t="str">
            <v>--</v>
          </cell>
          <cell r="BF352" t="str">
            <v>--</v>
          </cell>
          <cell r="BG352" t="str">
            <v>--</v>
          </cell>
          <cell r="BH352" t="str">
            <v>--</v>
          </cell>
          <cell r="BI352" t="str">
            <v>--</v>
          </cell>
          <cell r="BJ352" t="str">
            <v>--</v>
          </cell>
          <cell r="BK352" t="str">
            <v>--</v>
          </cell>
          <cell r="BL352" t="str">
            <v>--</v>
          </cell>
          <cell r="BM352" t="str">
            <v>--</v>
          </cell>
          <cell r="BN352">
            <v>26</v>
          </cell>
          <cell r="BO352">
            <v>36</v>
          </cell>
          <cell r="BP352">
            <v>38</v>
          </cell>
          <cell r="BQ352">
            <v>48</v>
          </cell>
          <cell r="BR352">
            <v>28.5</v>
          </cell>
          <cell r="BS352">
            <v>43</v>
          </cell>
          <cell r="BT352">
            <v>57.5</v>
          </cell>
          <cell r="BU352">
            <v>60</v>
          </cell>
          <cell r="BV352">
            <v>60</v>
          </cell>
          <cell r="BW352">
            <v>30</v>
          </cell>
          <cell r="BX352">
            <v>40</v>
          </cell>
          <cell r="BY352">
            <v>24</v>
          </cell>
          <cell r="BZ352">
            <v>34</v>
          </cell>
          <cell r="CA352">
            <v>24.5</v>
          </cell>
          <cell r="CB352">
            <v>39</v>
          </cell>
          <cell r="CC352">
            <v>53.5</v>
          </cell>
          <cell r="CD352">
            <v>60</v>
          </cell>
          <cell r="CE352">
            <v>60</v>
          </cell>
          <cell r="CF352">
            <v>21</v>
          </cell>
          <cell r="CG352">
            <v>18.899999999999999</v>
          </cell>
          <cell r="CH352">
            <v>11</v>
          </cell>
          <cell r="CI352">
            <v>9.9</v>
          </cell>
          <cell r="CJ352">
            <v>18.899999999999999</v>
          </cell>
          <cell r="CK352">
            <v>17</v>
          </cell>
          <cell r="CL352">
            <v>15.3</v>
          </cell>
          <cell r="CM352">
            <v>13.8</v>
          </cell>
          <cell r="CN352">
            <v>12.4</v>
          </cell>
          <cell r="CO352">
            <v>57.5</v>
          </cell>
          <cell r="CP352">
            <v>51.8</v>
          </cell>
          <cell r="CQ352">
            <v>54.7</v>
          </cell>
          <cell r="CR352">
            <v>49.2</v>
          </cell>
          <cell r="CS352">
            <v>61.5</v>
          </cell>
          <cell r="CT352">
            <v>55.4</v>
          </cell>
          <cell r="CU352">
            <v>49.8</v>
          </cell>
          <cell r="CV352">
            <v>44.8</v>
          </cell>
          <cell r="CW352">
            <v>40.4</v>
          </cell>
          <cell r="CX352">
            <v>58.1</v>
          </cell>
          <cell r="CY352">
            <v>52.3</v>
          </cell>
          <cell r="CZ352">
            <v>66.7</v>
          </cell>
          <cell r="DA352">
            <v>60</v>
          </cell>
          <cell r="DB352">
            <v>69.8</v>
          </cell>
          <cell r="DC352">
            <v>62.8</v>
          </cell>
          <cell r="DD352">
            <v>56.5</v>
          </cell>
          <cell r="DE352">
            <v>50.9</v>
          </cell>
          <cell r="DF352">
            <v>45.8</v>
          </cell>
          <cell r="DG352">
            <v>1.6</v>
          </cell>
          <cell r="DH352">
            <v>1.8</v>
          </cell>
          <cell r="DI352">
            <v>2.5</v>
          </cell>
          <cell r="DJ352">
            <v>2.8</v>
          </cell>
          <cell r="DK352">
            <v>1.4</v>
          </cell>
          <cell r="DL352">
            <v>1.5</v>
          </cell>
          <cell r="DM352">
            <v>1.7</v>
          </cell>
          <cell r="DN352">
            <v>1.9</v>
          </cell>
          <cell r="DO352">
            <v>2</v>
          </cell>
          <cell r="DP352">
            <v>1.6</v>
          </cell>
          <cell r="DQ352">
            <v>1.8</v>
          </cell>
          <cell r="DR352">
            <v>1.7</v>
          </cell>
          <cell r="DS352">
            <v>1.9</v>
          </cell>
          <cell r="DT352">
            <v>1.4</v>
          </cell>
          <cell r="DU352">
            <v>1.5</v>
          </cell>
          <cell r="DV352">
            <v>1.7</v>
          </cell>
          <cell r="DW352">
            <v>1.9</v>
          </cell>
          <cell r="DX352">
            <v>2</v>
          </cell>
          <cell r="DY352">
            <v>0</v>
          </cell>
          <cell r="DZ352">
            <v>1</v>
          </cell>
          <cell r="EA352">
            <v>0</v>
          </cell>
          <cell r="EB352">
            <v>1</v>
          </cell>
          <cell r="EC352">
            <v>0</v>
          </cell>
          <cell r="ED352">
            <v>1</v>
          </cell>
          <cell r="EE352">
            <v>1.1000000000000001</v>
          </cell>
          <cell r="EF352">
            <v>1.2</v>
          </cell>
          <cell r="EG352">
            <v>1.3</v>
          </cell>
        </row>
        <row r="353">
          <cell r="A353" t="str">
            <v>02810330White</v>
          </cell>
          <cell r="B353" t="str">
            <v>02810330C</v>
          </cell>
          <cell r="C353" t="str">
            <v>0281</v>
          </cell>
          <cell r="D353" t="str">
            <v>02810330</v>
          </cell>
          <cell r="E353" t="str">
            <v>Springfield</v>
          </cell>
          <cell r="F353" t="str">
            <v>M Marcus Kiley Middle</v>
          </cell>
          <cell r="G353" t="str">
            <v>MS</v>
          </cell>
          <cell r="H353" t="str">
            <v>Springfield - M Marcus Kiley Middle (02810330)</v>
          </cell>
          <cell r="I353" t="str">
            <v>White</v>
          </cell>
          <cell r="J353" t="str">
            <v>02810330White</v>
          </cell>
          <cell r="K353" t="str">
            <v>--</v>
          </cell>
          <cell r="L353">
            <v>75</v>
          </cell>
          <cell r="M353">
            <v>77.099999999999994</v>
          </cell>
          <cell r="N353">
            <v>74.400000000000006</v>
          </cell>
          <cell r="O353">
            <v>79.2</v>
          </cell>
          <cell r="P353">
            <v>73.599999999999994</v>
          </cell>
          <cell r="Q353">
            <v>82.6</v>
          </cell>
          <cell r="R353">
            <v>84.6</v>
          </cell>
          <cell r="S353">
            <v>86.7</v>
          </cell>
          <cell r="T353">
            <v>88.8</v>
          </cell>
          <cell r="U353">
            <v>55.9</v>
          </cell>
          <cell r="V353">
            <v>59.6</v>
          </cell>
          <cell r="W353">
            <v>61.1</v>
          </cell>
          <cell r="X353">
            <v>63.3</v>
          </cell>
          <cell r="Y353">
            <v>55.9</v>
          </cell>
          <cell r="Z353">
            <v>68.2</v>
          </cell>
          <cell r="AA353">
            <v>71.900000000000006</v>
          </cell>
          <cell r="AB353">
            <v>75.599999999999994</v>
          </cell>
          <cell r="AC353">
            <v>79.3</v>
          </cell>
          <cell r="AD353">
            <v>46.4</v>
          </cell>
          <cell r="AE353">
            <v>50.9</v>
          </cell>
          <cell r="AF353">
            <v>49</v>
          </cell>
          <cell r="AG353">
            <v>55.3</v>
          </cell>
          <cell r="AH353">
            <v>55.3</v>
          </cell>
          <cell r="AI353">
            <v>61.1</v>
          </cell>
          <cell r="AJ353">
            <v>65.599999999999994</v>
          </cell>
          <cell r="AK353">
            <v>70</v>
          </cell>
          <cell r="AL353">
            <v>74.5</v>
          </cell>
          <cell r="AM353" t="str">
            <v>--</v>
          </cell>
          <cell r="AN353" t="str">
            <v>--</v>
          </cell>
          <cell r="AO353" t="str">
            <v>--</v>
          </cell>
          <cell r="AP353" t="str">
            <v>--</v>
          </cell>
          <cell r="AQ353" t="str">
            <v>--</v>
          </cell>
          <cell r="AR353" t="str">
            <v>--</v>
          </cell>
          <cell r="AS353" t="str">
            <v>--</v>
          </cell>
          <cell r="AT353" t="str">
            <v>--</v>
          </cell>
          <cell r="AU353" t="str">
            <v>--</v>
          </cell>
          <cell r="AV353" t="str">
            <v>--</v>
          </cell>
          <cell r="AW353" t="str">
            <v>--</v>
          </cell>
          <cell r="AX353" t="str">
            <v>--</v>
          </cell>
          <cell r="AY353" t="str">
            <v>--</v>
          </cell>
          <cell r="AZ353" t="str">
            <v>--</v>
          </cell>
          <cell r="BA353" t="str">
            <v>--</v>
          </cell>
          <cell r="BB353" t="str">
            <v>--</v>
          </cell>
          <cell r="BC353" t="str">
            <v>--</v>
          </cell>
          <cell r="BD353" t="str">
            <v>--</v>
          </cell>
          <cell r="BE353" t="str">
            <v>--</v>
          </cell>
          <cell r="BF353" t="str">
            <v>--</v>
          </cell>
          <cell r="BG353" t="str">
            <v>--</v>
          </cell>
          <cell r="BH353" t="str">
            <v>--</v>
          </cell>
          <cell r="BI353" t="str">
            <v>--</v>
          </cell>
          <cell r="BJ353" t="str">
            <v>--</v>
          </cell>
          <cell r="BK353" t="str">
            <v>--</v>
          </cell>
          <cell r="BL353" t="str">
            <v>--</v>
          </cell>
          <cell r="BM353" t="str">
            <v>--</v>
          </cell>
          <cell r="BN353">
            <v>29.5</v>
          </cell>
          <cell r="BO353">
            <v>39.5</v>
          </cell>
          <cell r="BP353">
            <v>31</v>
          </cell>
          <cell r="BQ353">
            <v>41</v>
          </cell>
          <cell r="BR353">
            <v>30.5</v>
          </cell>
          <cell r="BS353">
            <v>45</v>
          </cell>
          <cell r="BT353">
            <v>59.5</v>
          </cell>
          <cell r="BU353">
            <v>60</v>
          </cell>
          <cell r="BV353">
            <v>60</v>
          </cell>
          <cell r="BW353">
            <v>35.5</v>
          </cell>
          <cell r="BX353">
            <v>45.5</v>
          </cell>
          <cell r="BY353">
            <v>31.5</v>
          </cell>
          <cell r="BZ353">
            <v>41.5</v>
          </cell>
          <cell r="CA353">
            <v>19</v>
          </cell>
          <cell r="CB353">
            <v>33.5</v>
          </cell>
          <cell r="CC353">
            <v>48</v>
          </cell>
          <cell r="CD353">
            <v>60</v>
          </cell>
          <cell r="CE353">
            <v>60</v>
          </cell>
          <cell r="CF353">
            <v>16.7</v>
          </cell>
          <cell r="CG353">
            <v>15</v>
          </cell>
          <cell r="CH353">
            <v>17.2</v>
          </cell>
          <cell r="CI353">
            <v>15.5</v>
          </cell>
          <cell r="CJ353">
            <v>13.8</v>
          </cell>
          <cell r="CK353">
            <v>12.4</v>
          </cell>
          <cell r="CL353">
            <v>11.2</v>
          </cell>
          <cell r="CM353">
            <v>10.1</v>
          </cell>
          <cell r="CN353">
            <v>9.1</v>
          </cell>
          <cell r="CO353">
            <v>41.6</v>
          </cell>
          <cell r="CP353">
            <v>37.4</v>
          </cell>
          <cell r="CQ353">
            <v>31</v>
          </cell>
          <cell r="CR353">
            <v>27.9</v>
          </cell>
          <cell r="CS353">
            <v>42.5</v>
          </cell>
          <cell r="CT353">
            <v>38.299999999999997</v>
          </cell>
          <cell r="CU353">
            <v>34.4</v>
          </cell>
          <cell r="CV353">
            <v>31</v>
          </cell>
          <cell r="CW353">
            <v>27.9</v>
          </cell>
          <cell r="CX353">
            <v>38.1</v>
          </cell>
          <cell r="CY353">
            <v>34.299999999999997</v>
          </cell>
          <cell r="CZ353">
            <v>42</v>
          </cell>
          <cell r="DA353">
            <v>37.799999999999997</v>
          </cell>
          <cell r="DB353">
            <v>30.3</v>
          </cell>
          <cell r="DC353">
            <v>27.3</v>
          </cell>
          <cell r="DD353">
            <v>24.5</v>
          </cell>
          <cell r="DE353">
            <v>22.1</v>
          </cell>
          <cell r="DF353">
            <v>19.899999999999999</v>
          </cell>
          <cell r="DG353">
            <v>3.9</v>
          </cell>
          <cell r="DH353">
            <v>4.3</v>
          </cell>
          <cell r="DI353">
            <v>8.6</v>
          </cell>
          <cell r="DJ353">
            <v>9.5</v>
          </cell>
          <cell r="DK353">
            <v>2.8</v>
          </cell>
          <cell r="DL353">
            <v>3.1</v>
          </cell>
          <cell r="DM353">
            <v>3.4</v>
          </cell>
          <cell r="DN353">
            <v>3.7</v>
          </cell>
          <cell r="DO353">
            <v>4.0999999999999996</v>
          </cell>
          <cell r="DP353">
            <v>3</v>
          </cell>
          <cell r="DQ353">
            <v>3.3</v>
          </cell>
          <cell r="DR353">
            <v>11.5</v>
          </cell>
          <cell r="DS353">
            <v>12.7</v>
          </cell>
          <cell r="DT353">
            <v>2.8</v>
          </cell>
          <cell r="DU353">
            <v>3.1</v>
          </cell>
          <cell r="DV353">
            <v>3.4</v>
          </cell>
          <cell r="DW353">
            <v>3.7</v>
          </cell>
          <cell r="DX353">
            <v>4.0999999999999996</v>
          </cell>
          <cell r="DY353">
            <v>0</v>
          </cell>
          <cell r="DZ353">
            <v>1</v>
          </cell>
          <cell r="EA353">
            <v>2</v>
          </cell>
          <cell r="EB353">
            <v>2.2000000000000002</v>
          </cell>
          <cell r="EC353">
            <v>3</v>
          </cell>
          <cell r="ED353">
            <v>3.3</v>
          </cell>
          <cell r="EE353">
            <v>3.6</v>
          </cell>
          <cell r="EF353">
            <v>4</v>
          </cell>
          <cell r="EG353">
            <v>4.4000000000000004</v>
          </cell>
        </row>
        <row r="354">
          <cell r="A354" t="str">
            <v>02810330Students w/disabilities</v>
          </cell>
          <cell r="B354" t="str">
            <v>02810330D</v>
          </cell>
          <cell r="C354" t="str">
            <v>0281</v>
          </cell>
          <cell r="D354" t="str">
            <v>02810330</v>
          </cell>
          <cell r="E354" t="str">
            <v>Springfield</v>
          </cell>
          <cell r="F354" t="str">
            <v>M Marcus Kiley Middle</v>
          </cell>
          <cell r="G354" t="str">
            <v>MS</v>
          </cell>
          <cell r="H354" t="str">
            <v>Springfield - M Marcus Kiley Middle (02810330)</v>
          </cell>
          <cell r="I354" t="str">
            <v>Students w/disabilities</v>
          </cell>
          <cell r="J354" t="str">
            <v>02810330Students w/disabilities</v>
          </cell>
          <cell r="K354" t="str">
            <v>--</v>
          </cell>
          <cell r="L354">
            <v>41.8</v>
          </cell>
          <cell r="M354">
            <v>46.7</v>
          </cell>
          <cell r="N354">
            <v>42.5</v>
          </cell>
          <cell r="O354">
            <v>51.5</v>
          </cell>
          <cell r="P354">
            <v>42.3</v>
          </cell>
          <cell r="Q354">
            <v>57.7</v>
          </cell>
          <cell r="R354">
            <v>62.5</v>
          </cell>
          <cell r="S354">
            <v>67.400000000000006</v>
          </cell>
          <cell r="T354">
            <v>72.2</v>
          </cell>
          <cell r="U354">
            <v>30.1</v>
          </cell>
          <cell r="V354">
            <v>35.9</v>
          </cell>
          <cell r="W354">
            <v>32.299999999999997</v>
          </cell>
          <cell r="X354">
            <v>41.8</v>
          </cell>
          <cell r="Y354">
            <v>30.1</v>
          </cell>
          <cell r="Z354">
            <v>48.9</v>
          </cell>
          <cell r="AA354">
            <v>54.7</v>
          </cell>
          <cell r="AB354">
            <v>60.5</v>
          </cell>
          <cell r="AC354">
            <v>66.400000000000006</v>
          </cell>
          <cell r="AD354">
            <v>28.9</v>
          </cell>
          <cell r="AE354">
            <v>34.799999999999997</v>
          </cell>
          <cell r="AF354">
            <v>27.3</v>
          </cell>
          <cell r="AG354">
            <v>40.799999999999997</v>
          </cell>
          <cell r="AH354">
            <v>31.1</v>
          </cell>
          <cell r="AI354">
            <v>48</v>
          </cell>
          <cell r="AJ354">
            <v>53.9</v>
          </cell>
          <cell r="AK354">
            <v>59.8</v>
          </cell>
          <cell r="AL354">
            <v>65.8</v>
          </cell>
          <cell r="AM354" t="str">
            <v>--</v>
          </cell>
          <cell r="AN354" t="str">
            <v>--</v>
          </cell>
          <cell r="AO354" t="str">
            <v>--</v>
          </cell>
          <cell r="AP354" t="str">
            <v>--</v>
          </cell>
          <cell r="AQ354" t="str">
            <v>--</v>
          </cell>
          <cell r="AR354" t="str">
            <v>--</v>
          </cell>
          <cell r="AS354" t="str">
            <v>--</v>
          </cell>
          <cell r="AT354" t="str">
            <v>--</v>
          </cell>
          <cell r="AU354" t="str">
            <v>--</v>
          </cell>
          <cell r="AV354" t="str">
            <v>--</v>
          </cell>
          <cell r="AW354" t="str">
            <v>--</v>
          </cell>
          <cell r="AX354" t="str">
            <v>--</v>
          </cell>
          <cell r="AY354" t="str">
            <v>--</v>
          </cell>
          <cell r="AZ354" t="str">
            <v>--</v>
          </cell>
          <cell r="BA354" t="str">
            <v>--</v>
          </cell>
          <cell r="BB354" t="str">
            <v>--</v>
          </cell>
          <cell r="BC354" t="str">
            <v>--</v>
          </cell>
          <cell r="BD354" t="str">
            <v>--</v>
          </cell>
          <cell r="BE354" t="str">
            <v>--</v>
          </cell>
          <cell r="BF354" t="str">
            <v>--</v>
          </cell>
          <cell r="BG354" t="str">
            <v>--</v>
          </cell>
          <cell r="BH354" t="str">
            <v>--</v>
          </cell>
          <cell r="BI354" t="str">
            <v>--</v>
          </cell>
          <cell r="BJ354" t="str">
            <v>--</v>
          </cell>
          <cell r="BK354" t="str">
            <v>--</v>
          </cell>
          <cell r="BL354" t="str">
            <v>--</v>
          </cell>
          <cell r="BM354" t="str">
            <v>--</v>
          </cell>
          <cell r="BN354">
            <v>26</v>
          </cell>
          <cell r="BO354">
            <v>36</v>
          </cell>
          <cell r="BP354">
            <v>31.5</v>
          </cell>
          <cell r="BQ354">
            <v>41.5</v>
          </cell>
          <cell r="BR354">
            <v>24</v>
          </cell>
          <cell r="BS354">
            <v>38.5</v>
          </cell>
          <cell r="BT354">
            <v>53</v>
          </cell>
          <cell r="BU354">
            <v>60</v>
          </cell>
          <cell r="BV354">
            <v>60</v>
          </cell>
          <cell r="BW354">
            <v>26</v>
          </cell>
          <cell r="BX354">
            <v>36</v>
          </cell>
          <cell r="BY354">
            <v>32</v>
          </cell>
          <cell r="BZ354">
            <v>42</v>
          </cell>
          <cell r="CA354">
            <v>19.5</v>
          </cell>
          <cell r="CB354">
            <v>34</v>
          </cell>
          <cell r="CC354">
            <v>48.5</v>
          </cell>
          <cell r="CD354">
            <v>60</v>
          </cell>
          <cell r="CE354">
            <v>60</v>
          </cell>
          <cell r="CF354">
            <v>57.1</v>
          </cell>
          <cell r="CG354">
            <v>51.4</v>
          </cell>
          <cell r="CH354">
            <v>54.9</v>
          </cell>
          <cell r="CI354">
            <v>49.4</v>
          </cell>
          <cell r="CJ354">
            <v>55.8</v>
          </cell>
          <cell r="CK354">
            <v>50.2</v>
          </cell>
          <cell r="CL354">
            <v>45.2</v>
          </cell>
          <cell r="CM354">
            <v>40.700000000000003</v>
          </cell>
          <cell r="CN354">
            <v>36.6</v>
          </cell>
          <cell r="CO354">
            <v>77.400000000000006</v>
          </cell>
          <cell r="CP354">
            <v>69.7</v>
          </cell>
          <cell r="CQ354">
            <v>76.400000000000006</v>
          </cell>
          <cell r="CR354">
            <v>68.8</v>
          </cell>
          <cell r="CS354">
            <v>83</v>
          </cell>
          <cell r="CT354">
            <v>74.7</v>
          </cell>
          <cell r="CU354">
            <v>67.2</v>
          </cell>
          <cell r="CV354">
            <v>60.5</v>
          </cell>
          <cell r="CW354">
            <v>54.5</v>
          </cell>
          <cell r="CX354">
            <v>78.400000000000006</v>
          </cell>
          <cell r="CY354">
            <v>70.599999999999994</v>
          </cell>
          <cell r="CZ354">
            <v>78.8</v>
          </cell>
          <cell r="DA354">
            <v>70.900000000000006</v>
          </cell>
          <cell r="DB354">
            <v>79.599999999999994</v>
          </cell>
          <cell r="DC354">
            <v>71.599999999999994</v>
          </cell>
          <cell r="DD354">
            <v>64.5</v>
          </cell>
          <cell r="DE354">
            <v>58</v>
          </cell>
          <cell r="DF354">
            <v>52.2</v>
          </cell>
          <cell r="DG354">
            <v>0</v>
          </cell>
          <cell r="DH354">
            <v>1</v>
          </cell>
          <cell r="DI354">
            <v>0</v>
          </cell>
          <cell r="DJ354">
            <v>1</v>
          </cell>
          <cell r="DK354">
            <v>0</v>
          </cell>
          <cell r="DL354">
            <v>1</v>
          </cell>
          <cell r="DM354">
            <v>1.1000000000000001</v>
          </cell>
          <cell r="DN354">
            <v>1.2</v>
          </cell>
          <cell r="DO354">
            <v>1.3</v>
          </cell>
          <cell r="DP354">
            <v>0</v>
          </cell>
          <cell r="DQ354">
            <v>1</v>
          </cell>
          <cell r="DR354">
            <v>0.9</v>
          </cell>
          <cell r="DS354">
            <v>1</v>
          </cell>
          <cell r="DT354">
            <v>0</v>
          </cell>
          <cell r="DU354">
            <v>1</v>
          </cell>
          <cell r="DV354">
            <v>1.1000000000000001</v>
          </cell>
          <cell r="DW354">
            <v>1.2</v>
          </cell>
          <cell r="DX354">
            <v>1.3</v>
          </cell>
          <cell r="DY354">
            <v>0</v>
          </cell>
          <cell r="DZ354">
            <v>1</v>
          </cell>
          <cell r="EA354">
            <v>0</v>
          </cell>
          <cell r="EB354">
            <v>1</v>
          </cell>
          <cell r="EC354">
            <v>0</v>
          </cell>
          <cell r="ED354">
            <v>1</v>
          </cell>
          <cell r="EE354">
            <v>1.1000000000000001</v>
          </cell>
          <cell r="EF354">
            <v>1.2</v>
          </cell>
          <cell r="EG354">
            <v>1.3</v>
          </cell>
        </row>
        <row r="355">
          <cell r="A355" t="str">
            <v>02810330Low income</v>
          </cell>
          <cell r="B355" t="str">
            <v>02810330F</v>
          </cell>
          <cell r="C355" t="str">
            <v>0281</v>
          </cell>
          <cell r="D355" t="str">
            <v>02810330</v>
          </cell>
          <cell r="E355" t="str">
            <v>Springfield</v>
          </cell>
          <cell r="F355" t="str">
            <v>M Marcus Kiley Middle</v>
          </cell>
          <cell r="G355" t="str">
            <v>MS</v>
          </cell>
          <cell r="H355" t="str">
            <v>Springfield - M Marcus Kiley Middle (02810330)</v>
          </cell>
          <cell r="I355" t="str">
            <v>Low income</v>
          </cell>
          <cell r="J355" t="str">
            <v>02810330Low income</v>
          </cell>
          <cell r="K355" t="str">
            <v>--</v>
          </cell>
          <cell r="L355">
            <v>62</v>
          </cell>
          <cell r="M355">
            <v>65.2</v>
          </cell>
          <cell r="N355">
            <v>66.2</v>
          </cell>
          <cell r="O355">
            <v>68.3</v>
          </cell>
          <cell r="P355">
            <v>63.9</v>
          </cell>
          <cell r="Q355">
            <v>72.8</v>
          </cell>
          <cell r="R355">
            <v>76</v>
          </cell>
          <cell r="S355">
            <v>79.099999999999994</v>
          </cell>
          <cell r="T355">
            <v>82.3</v>
          </cell>
          <cell r="U355">
            <v>41.3</v>
          </cell>
          <cell r="V355">
            <v>46.2</v>
          </cell>
          <cell r="W355">
            <v>45.3</v>
          </cell>
          <cell r="X355">
            <v>51.1</v>
          </cell>
          <cell r="Y355">
            <v>44.9</v>
          </cell>
          <cell r="Z355">
            <v>57.3</v>
          </cell>
          <cell r="AA355">
            <v>62.2</v>
          </cell>
          <cell r="AB355">
            <v>67.099999999999994</v>
          </cell>
          <cell r="AC355">
            <v>72</v>
          </cell>
          <cell r="AD355">
            <v>34.200000000000003</v>
          </cell>
          <cell r="AE355">
            <v>39.700000000000003</v>
          </cell>
          <cell r="AF355">
            <v>38.200000000000003</v>
          </cell>
          <cell r="AG355">
            <v>45.2</v>
          </cell>
          <cell r="AH355">
            <v>37.4</v>
          </cell>
          <cell r="AI355">
            <v>52</v>
          </cell>
          <cell r="AJ355">
            <v>57.4</v>
          </cell>
          <cell r="AK355">
            <v>62.9</v>
          </cell>
          <cell r="AL355">
            <v>68.400000000000006</v>
          </cell>
          <cell r="AM355" t="str">
            <v>--</v>
          </cell>
          <cell r="AN355" t="str">
            <v>--</v>
          </cell>
          <cell r="AO355" t="str">
            <v>--</v>
          </cell>
          <cell r="AP355" t="str">
            <v>--</v>
          </cell>
          <cell r="AQ355" t="str">
            <v>--</v>
          </cell>
          <cell r="AR355" t="str">
            <v>--</v>
          </cell>
          <cell r="AS355" t="str">
            <v>--</v>
          </cell>
          <cell r="AT355" t="str">
            <v>--</v>
          </cell>
          <cell r="AU355" t="str">
            <v>--</v>
          </cell>
          <cell r="AV355" t="str">
            <v>--</v>
          </cell>
          <cell r="AW355" t="str">
            <v>--</v>
          </cell>
          <cell r="AX355" t="str">
            <v>--</v>
          </cell>
          <cell r="AY355" t="str">
            <v>--</v>
          </cell>
          <cell r="AZ355" t="str">
            <v>--</v>
          </cell>
          <cell r="BA355" t="str">
            <v>--</v>
          </cell>
          <cell r="BB355" t="str">
            <v>--</v>
          </cell>
          <cell r="BC355" t="str">
            <v>--</v>
          </cell>
          <cell r="BD355" t="str">
            <v>--</v>
          </cell>
          <cell r="BE355" t="str">
            <v>--</v>
          </cell>
          <cell r="BF355" t="str">
            <v>--</v>
          </cell>
          <cell r="BG355" t="str">
            <v>--</v>
          </cell>
          <cell r="BH355" t="str">
            <v>--</v>
          </cell>
          <cell r="BI355" t="str">
            <v>--</v>
          </cell>
          <cell r="BJ355" t="str">
            <v>--</v>
          </cell>
          <cell r="BK355" t="str">
            <v>--</v>
          </cell>
          <cell r="BL355" t="str">
            <v>--</v>
          </cell>
          <cell r="BM355" t="str">
            <v>--</v>
          </cell>
          <cell r="BN355">
            <v>26</v>
          </cell>
          <cell r="BO355">
            <v>36</v>
          </cell>
          <cell r="BP355">
            <v>29</v>
          </cell>
          <cell r="BQ355">
            <v>39</v>
          </cell>
          <cell r="BR355">
            <v>29</v>
          </cell>
          <cell r="BS355">
            <v>43.5</v>
          </cell>
          <cell r="BT355">
            <v>58</v>
          </cell>
          <cell r="BU355">
            <v>60</v>
          </cell>
          <cell r="BV355">
            <v>60</v>
          </cell>
          <cell r="BW355">
            <v>26</v>
          </cell>
          <cell r="BX355">
            <v>36</v>
          </cell>
          <cell r="BY355">
            <v>25.5</v>
          </cell>
          <cell r="BZ355">
            <v>35.5</v>
          </cell>
          <cell r="CA355">
            <v>26.5</v>
          </cell>
          <cell r="CB355">
            <v>41</v>
          </cell>
          <cell r="CC355">
            <v>55.5</v>
          </cell>
          <cell r="CD355">
            <v>60</v>
          </cell>
          <cell r="CE355">
            <v>60</v>
          </cell>
          <cell r="CF355">
            <v>28.1</v>
          </cell>
          <cell r="CG355">
            <v>25.3</v>
          </cell>
          <cell r="CH355">
            <v>23.1</v>
          </cell>
          <cell r="CI355">
            <v>20.8</v>
          </cell>
          <cell r="CJ355">
            <v>24.9</v>
          </cell>
          <cell r="CK355">
            <v>22.4</v>
          </cell>
          <cell r="CL355">
            <v>20.2</v>
          </cell>
          <cell r="CM355">
            <v>18.2</v>
          </cell>
          <cell r="CN355">
            <v>16.3</v>
          </cell>
          <cell r="CO355">
            <v>60.5</v>
          </cell>
          <cell r="CP355">
            <v>54.5</v>
          </cell>
          <cell r="CQ355">
            <v>54.2</v>
          </cell>
          <cell r="CR355">
            <v>48.8</v>
          </cell>
          <cell r="CS355">
            <v>58.4</v>
          </cell>
          <cell r="CT355">
            <v>52.6</v>
          </cell>
          <cell r="CU355">
            <v>47.3</v>
          </cell>
          <cell r="CV355">
            <v>42.6</v>
          </cell>
          <cell r="CW355">
            <v>38.299999999999997</v>
          </cell>
          <cell r="CX355">
            <v>64.2</v>
          </cell>
          <cell r="CY355">
            <v>57.8</v>
          </cell>
          <cell r="CZ355">
            <v>60.9</v>
          </cell>
          <cell r="DA355">
            <v>54.8</v>
          </cell>
          <cell r="DB355">
            <v>63.8</v>
          </cell>
          <cell r="DC355">
            <v>57.4</v>
          </cell>
          <cell r="DD355">
            <v>51.7</v>
          </cell>
          <cell r="DE355">
            <v>46.5</v>
          </cell>
          <cell r="DF355">
            <v>41.9</v>
          </cell>
          <cell r="DG355">
            <v>1</v>
          </cell>
          <cell r="DH355">
            <v>1.1000000000000001</v>
          </cell>
          <cell r="DI355">
            <v>2.6</v>
          </cell>
          <cell r="DJ355">
            <v>2.9</v>
          </cell>
          <cell r="DK355">
            <v>1.4</v>
          </cell>
          <cell r="DL355">
            <v>1.5</v>
          </cell>
          <cell r="DM355">
            <v>1.7</v>
          </cell>
          <cell r="DN355">
            <v>1.9</v>
          </cell>
          <cell r="DO355">
            <v>2</v>
          </cell>
          <cell r="DP355">
            <v>2.1</v>
          </cell>
          <cell r="DQ355">
            <v>2.2999999999999998</v>
          </cell>
          <cell r="DR355">
            <v>2.9</v>
          </cell>
          <cell r="DS355">
            <v>3.2</v>
          </cell>
          <cell r="DT355">
            <v>3.1</v>
          </cell>
          <cell r="DU355">
            <v>3.4</v>
          </cell>
          <cell r="DV355">
            <v>3.8</v>
          </cell>
          <cell r="DW355">
            <v>4.0999999999999996</v>
          </cell>
          <cell r="DX355">
            <v>4.5</v>
          </cell>
          <cell r="DY355">
            <v>0</v>
          </cell>
          <cell r="DZ355">
            <v>1</v>
          </cell>
          <cell r="EA355">
            <v>0</v>
          </cell>
          <cell r="EB355">
            <v>1</v>
          </cell>
          <cell r="EC355">
            <v>0.6</v>
          </cell>
          <cell r="ED355">
            <v>0.7</v>
          </cell>
          <cell r="EE355">
            <v>0.7</v>
          </cell>
          <cell r="EF355">
            <v>0.8</v>
          </cell>
          <cell r="EG355">
            <v>0.9</v>
          </cell>
        </row>
        <row r="356">
          <cell r="A356" t="str">
            <v>02810330Hispanic/Latino</v>
          </cell>
          <cell r="B356" t="str">
            <v>02810330H</v>
          </cell>
          <cell r="C356" t="str">
            <v>0281</v>
          </cell>
          <cell r="D356" t="str">
            <v>02810330</v>
          </cell>
          <cell r="E356" t="str">
            <v>Springfield</v>
          </cell>
          <cell r="F356" t="str">
            <v>M Marcus Kiley Middle</v>
          </cell>
          <cell r="G356" t="str">
            <v>MS</v>
          </cell>
          <cell r="H356" t="str">
            <v>Springfield - M Marcus Kiley Middle (02810330)</v>
          </cell>
          <cell r="I356" t="str">
            <v>Hispanic/Latino</v>
          </cell>
          <cell r="J356" t="str">
            <v>02810330Hispanic/Latino</v>
          </cell>
          <cell r="K356" t="str">
            <v>--</v>
          </cell>
          <cell r="L356">
            <v>58.9</v>
          </cell>
          <cell r="M356">
            <v>62.3</v>
          </cell>
          <cell r="N356">
            <v>61.1</v>
          </cell>
          <cell r="O356">
            <v>65.8</v>
          </cell>
          <cell r="P356">
            <v>57.9</v>
          </cell>
          <cell r="Q356">
            <v>70.5</v>
          </cell>
          <cell r="R356">
            <v>73.900000000000006</v>
          </cell>
          <cell r="S356">
            <v>77.3</v>
          </cell>
          <cell r="T356">
            <v>80.8</v>
          </cell>
          <cell r="U356">
            <v>38.6</v>
          </cell>
          <cell r="V356">
            <v>43.7</v>
          </cell>
          <cell r="W356">
            <v>39.1</v>
          </cell>
          <cell r="X356">
            <v>48.8</v>
          </cell>
          <cell r="Y356">
            <v>40.6</v>
          </cell>
          <cell r="Z356">
            <v>55.3</v>
          </cell>
          <cell r="AA356">
            <v>60.4</v>
          </cell>
          <cell r="AB356">
            <v>65.5</v>
          </cell>
          <cell r="AC356">
            <v>70.599999999999994</v>
          </cell>
          <cell r="AD356">
            <v>30.7</v>
          </cell>
          <cell r="AE356">
            <v>36.5</v>
          </cell>
          <cell r="AF356">
            <v>36.4</v>
          </cell>
          <cell r="AG356">
            <v>42.3</v>
          </cell>
          <cell r="AH356">
            <v>33.9</v>
          </cell>
          <cell r="AI356">
            <v>49.3</v>
          </cell>
          <cell r="AJ356">
            <v>55.1</v>
          </cell>
          <cell r="AK356">
            <v>60.9</v>
          </cell>
          <cell r="AL356">
            <v>66.7</v>
          </cell>
          <cell r="AM356" t="str">
            <v>--</v>
          </cell>
          <cell r="AN356" t="str">
            <v>--</v>
          </cell>
          <cell r="AO356" t="str">
            <v>--</v>
          </cell>
          <cell r="AP356" t="str">
            <v>--</v>
          </cell>
          <cell r="AQ356" t="str">
            <v>--</v>
          </cell>
          <cell r="AR356" t="str">
            <v>--</v>
          </cell>
          <cell r="AS356" t="str">
            <v>--</v>
          </cell>
          <cell r="AT356" t="str">
            <v>--</v>
          </cell>
          <cell r="AU356" t="str">
            <v>--</v>
          </cell>
          <cell r="AV356" t="str">
            <v>--</v>
          </cell>
          <cell r="AW356" t="str">
            <v>--</v>
          </cell>
          <cell r="AX356" t="str">
            <v>--</v>
          </cell>
          <cell r="AY356" t="str">
            <v>--</v>
          </cell>
          <cell r="AZ356" t="str">
            <v>--</v>
          </cell>
          <cell r="BA356" t="str">
            <v>--</v>
          </cell>
          <cell r="BB356" t="str">
            <v>--</v>
          </cell>
          <cell r="BC356" t="str">
            <v>--</v>
          </cell>
          <cell r="BD356" t="str">
            <v>--</v>
          </cell>
          <cell r="BE356" t="str">
            <v>--</v>
          </cell>
          <cell r="BF356" t="str">
            <v>--</v>
          </cell>
          <cell r="BG356" t="str">
            <v>--</v>
          </cell>
          <cell r="BH356" t="str">
            <v>--</v>
          </cell>
          <cell r="BI356" t="str">
            <v>--</v>
          </cell>
          <cell r="BJ356" t="str">
            <v>--</v>
          </cell>
          <cell r="BK356" t="str">
            <v>--</v>
          </cell>
          <cell r="BL356" t="str">
            <v>--</v>
          </cell>
          <cell r="BM356" t="str">
            <v>--</v>
          </cell>
          <cell r="BN356">
            <v>25</v>
          </cell>
          <cell r="BO356">
            <v>35</v>
          </cell>
          <cell r="BP356">
            <v>27</v>
          </cell>
          <cell r="BQ356">
            <v>37</v>
          </cell>
          <cell r="BR356">
            <v>29</v>
          </cell>
          <cell r="BS356">
            <v>43.5</v>
          </cell>
          <cell r="BT356">
            <v>58</v>
          </cell>
          <cell r="BU356">
            <v>60</v>
          </cell>
          <cell r="BV356">
            <v>60</v>
          </cell>
          <cell r="BW356">
            <v>24</v>
          </cell>
          <cell r="BX356">
            <v>34</v>
          </cell>
          <cell r="BY356">
            <v>23</v>
          </cell>
          <cell r="BZ356">
            <v>33</v>
          </cell>
          <cell r="CA356">
            <v>28</v>
          </cell>
          <cell r="CB356">
            <v>42.5</v>
          </cell>
          <cell r="CC356">
            <v>57</v>
          </cell>
          <cell r="CD356">
            <v>60</v>
          </cell>
          <cell r="CE356">
            <v>60</v>
          </cell>
          <cell r="CF356">
            <v>30.7</v>
          </cell>
          <cell r="CG356">
            <v>27.6</v>
          </cell>
          <cell r="CH356">
            <v>28.3</v>
          </cell>
          <cell r="CI356">
            <v>25.5</v>
          </cell>
          <cell r="CJ356">
            <v>32.1</v>
          </cell>
          <cell r="CK356">
            <v>28.9</v>
          </cell>
          <cell r="CL356">
            <v>26</v>
          </cell>
          <cell r="CM356">
            <v>23.4</v>
          </cell>
          <cell r="CN356">
            <v>21.1</v>
          </cell>
          <cell r="CO356">
            <v>65.099999999999994</v>
          </cell>
          <cell r="CP356">
            <v>58.6</v>
          </cell>
          <cell r="CQ356">
            <v>63</v>
          </cell>
          <cell r="CR356">
            <v>56.7</v>
          </cell>
          <cell r="CS356">
            <v>63.9</v>
          </cell>
          <cell r="CT356">
            <v>57.5</v>
          </cell>
          <cell r="CU356">
            <v>51.8</v>
          </cell>
          <cell r="CV356">
            <v>46.6</v>
          </cell>
          <cell r="CW356">
            <v>41.9</v>
          </cell>
          <cell r="CX356">
            <v>73.099999999999994</v>
          </cell>
          <cell r="CY356">
            <v>65.8</v>
          </cell>
          <cell r="CZ356">
            <v>64.2</v>
          </cell>
          <cell r="DA356">
            <v>57.8</v>
          </cell>
          <cell r="DB356">
            <v>69.7</v>
          </cell>
          <cell r="DC356">
            <v>62.7</v>
          </cell>
          <cell r="DD356">
            <v>56.5</v>
          </cell>
          <cell r="DE356">
            <v>50.8</v>
          </cell>
          <cell r="DF356">
            <v>45.7</v>
          </cell>
          <cell r="DG356">
            <v>0.5</v>
          </cell>
          <cell r="DH356">
            <v>0.6</v>
          </cell>
          <cell r="DI356">
            <v>1</v>
          </cell>
          <cell r="DJ356">
            <v>1.1000000000000001</v>
          </cell>
          <cell r="DK356">
            <v>1</v>
          </cell>
          <cell r="DL356">
            <v>1.1000000000000001</v>
          </cell>
          <cell r="DM356">
            <v>1.2</v>
          </cell>
          <cell r="DN356">
            <v>1.3</v>
          </cell>
          <cell r="DO356">
            <v>1.5</v>
          </cell>
          <cell r="DP356">
            <v>1.6</v>
          </cell>
          <cell r="DQ356">
            <v>1.8</v>
          </cell>
          <cell r="DR356">
            <v>1</v>
          </cell>
          <cell r="DS356">
            <v>1.1000000000000001</v>
          </cell>
          <cell r="DT356">
            <v>2.6</v>
          </cell>
          <cell r="DU356">
            <v>2.9</v>
          </cell>
          <cell r="DV356">
            <v>3.1</v>
          </cell>
          <cell r="DW356">
            <v>3.5</v>
          </cell>
          <cell r="DX356">
            <v>3.8</v>
          </cell>
          <cell r="DY356">
            <v>0</v>
          </cell>
          <cell r="DZ356">
            <v>1</v>
          </cell>
          <cell r="EA356">
            <v>0</v>
          </cell>
          <cell r="EB356">
            <v>1</v>
          </cell>
          <cell r="EC356">
            <v>0</v>
          </cell>
          <cell r="ED356">
            <v>1</v>
          </cell>
          <cell r="EE356">
            <v>1.1000000000000001</v>
          </cell>
          <cell r="EF356">
            <v>1.2</v>
          </cell>
          <cell r="EG356">
            <v>1.3</v>
          </cell>
        </row>
        <row r="357">
          <cell r="A357" t="str">
            <v>02810330ELL and Former ELL</v>
          </cell>
          <cell r="B357" t="str">
            <v>02810330L</v>
          </cell>
          <cell r="C357" t="str">
            <v>0281</v>
          </cell>
          <cell r="D357" t="str">
            <v>02810330</v>
          </cell>
          <cell r="E357" t="str">
            <v>Springfield</v>
          </cell>
          <cell r="F357" t="str">
            <v>M Marcus Kiley Middle</v>
          </cell>
          <cell r="G357" t="str">
            <v>MS</v>
          </cell>
          <cell r="H357" t="str">
            <v>Springfield - M Marcus Kiley Middle (02810330)</v>
          </cell>
          <cell r="I357" t="str">
            <v>ELL and Former ELL</v>
          </cell>
          <cell r="J357" t="str">
            <v>02810330ELL and Former ELL</v>
          </cell>
          <cell r="K357" t="str">
            <v>--</v>
          </cell>
          <cell r="L357">
            <v>40.9</v>
          </cell>
          <cell r="M357">
            <v>45.8</v>
          </cell>
          <cell r="N357">
            <v>47</v>
          </cell>
          <cell r="O357">
            <v>50.8</v>
          </cell>
          <cell r="P357">
            <v>44.4</v>
          </cell>
          <cell r="Q357">
            <v>57</v>
          </cell>
          <cell r="R357">
            <v>61.9</v>
          </cell>
          <cell r="S357">
            <v>66.8</v>
          </cell>
          <cell r="T357">
            <v>71.8</v>
          </cell>
          <cell r="U357">
            <v>34.700000000000003</v>
          </cell>
          <cell r="V357">
            <v>40.1</v>
          </cell>
          <cell r="W357">
            <v>33</v>
          </cell>
          <cell r="X357">
            <v>45.6</v>
          </cell>
          <cell r="Y357">
            <v>34.299999999999997</v>
          </cell>
          <cell r="Z357">
            <v>52.3</v>
          </cell>
          <cell r="AA357">
            <v>57.8</v>
          </cell>
          <cell r="AB357">
            <v>63.2</v>
          </cell>
          <cell r="AC357">
            <v>68.7</v>
          </cell>
          <cell r="AD357">
            <v>20</v>
          </cell>
          <cell r="AE357">
            <v>26.7</v>
          </cell>
          <cell r="AF357">
            <v>30</v>
          </cell>
          <cell r="AG357">
            <v>33.299999999999997</v>
          </cell>
          <cell r="AH357">
            <v>28.4</v>
          </cell>
          <cell r="AI357">
            <v>41.3</v>
          </cell>
          <cell r="AJ357">
            <v>48</v>
          </cell>
          <cell r="AK357">
            <v>54.6</v>
          </cell>
          <cell r="AL357">
            <v>61.3</v>
          </cell>
          <cell r="AM357" t="str">
            <v>--</v>
          </cell>
          <cell r="AN357" t="str">
            <v>--</v>
          </cell>
          <cell r="AO357" t="str">
            <v>--</v>
          </cell>
          <cell r="AP357" t="str">
            <v>--</v>
          </cell>
          <cell r="AQ357" t="str">
            <v>--</v>
          </cell>
          <cell r="AR357" t="str">
            <v>--</v>
          </cell>
          <cell r="AS357" t="str">
            <v>--</v>
          </cell>
          <cell r="AT357" t="str">
            <v>--</v>
          </cell>
          <cell r="AU357" t="str">
            <v>--</v>
          </cell>
          <cell r="AV357" t="str">
            <v>--</v>
          </cell>
          <cell r="AW357" t="str">
            <v>--</v>
          </cell>
          <cell r="AX357" t="str">
            <v>--</v>
          </cell>
          <cell r="AY357" t="str">
            <v>--</v>
          </cell>
          <cell r="AZ357" t="str">
            <v>--</v>
          </cell>
          <cell r="BA357" t="str">
            <v>--</v>
          </cell>
          <cell r="BB357" t="str">
            <v>--</v>
          </cell>
          <cell r="BC357" t="str">
            <v>--</v>
          </cell>
          <cell r="BD357" t="str">
            <v>--</v>
          </cell>
          <cell r="BE357" t="str">
            <v>--</v>
          </cell>
          <cell r="BF357" t="str">
            <v>--</v>
          </cell>
          <cell r="BG357" t="str">
            <v>--</v>
          </cell>
          <cell r="BH357" t="str">
            <v>--</v>
          </cell>
          <cell r="BI357" t="str">
            <v>--</v>
          </cell>
          <cell r="BJ357" t="str">
            <v>--</v>
          </cell>
          <cell r="BK357" t="str">
            <v>--</v>
          </cell>
          <cell r="BL357" t="str">
            <v>--</v>
          </cell>
          <cell r="BM357" t="str">
            <v>--</v>
          </cell>
          <cell r="BN357">
            <v>20</v>
          </cell>
          <cell r="BO357">
            <v>30</v>
          </cell>
          <cell r="BP357">
            <v>29</v>
          </cell>
          <cell r="BQ357">
            <v>39</v>
          </cell>
          <cell r="BR357">
            <v>31</v>
          </cell>
          <cell r="BS357">
            <v>45.5</v>
          </cell>
          <cell r="BT357">
            <v>60</v>
          </cell>
          <cell r="BU357">
            <v>60</v>
          </cell>
          <cell r="BV357">
            <v>60</v>
          </cell>
          <cell r="BW357">
            <v>33</v>
          </cell>
          <cell r="BX357">
            <v>43</v>
          </cell>
          <cell r="BY357">
            <v>29</v>
          </cell>
          <cell r="BZ357">
            <v>39</v>
          </cell>
          <cell r="CA357">
            <v>26.5</v>
          </cell>
          <cell r="CB357">
            <v>41</v>
          </cell>
          <cell r="CC357">
            <v>55.5</v>
          </cell>
          <cell r="CD357">
            <v>60</v>
          </cell>
          <cell r="CE357">
            <v>60</v>
          </cell>
          <cell r="CF357">
            <v>56.3</v>
          </cell>
          <cell r="CG357">
            <v>50.7</v>
          </cell>
          <cell r="CH357">
            <v>50.7</v>
          </cell>
          <cell r="CI357">
            <v>45.6</v>
          </cell>
          <cell r="CJ357">
            <v>51.7</v>
          </cell>
          <cell r="CK357">
            <v>46.5</v>
          </cell>
          <cell r="CL357">
            <v>41.9</v>
          </cell>
          <cell r="CM357">
            <v>37.700000000000003</v>
          </cell>
          <cell r="CN357">
            <v>33.9</v>
          </cell>
          <cell r="CO357">
            <v>73.400000000000006</v>
          </cell>
          <cell r="CP357">
            <v>66.099999999999994</v>
          </cell>
          <cell r="CQ357">
            <v>70.7</v>
          </cell>
          <cell r="CR357">
            <v>63.6</v>
          </cell>
          <cell r="CS357">
            <v>78.7</v>
          </cell>
          <cell r="CT357">
            <v>70.8</v>
          </cell>
          <cell r="CU357">
            <v>63.7</v>
          </cell>
          <cell r="CV357">
            <v>57.4</v>
          </cell>
          <cell r="CW357">
            <v>51.6</v>
          </cell>
          <cell r="CX357">
            <v>96.7</v>
          </cell>
          <cell r="CY357">
            <v>87</v>
          </cell>
          <cell r="CZ357">
            <v>76</v>
          </cell>
          <cell r="DA357">
            <v>68.400000000000006</v>
          </cell>
          <cell r="DB357">
            <v>86.2</v>
          </cell>
          <cell r="DC357">
            <v>77.599999999999994</v>
          </cell>
          <cell r="DD357">
            <v>69.8</v>
          </cell>
          <cell r="DE357">
            <v>62.8</v>
          </cell>
          <cell r="DF357">
            <v>56.6</v>
          </cell>
          <cell r="DG357">
            <v>0</v>
          </cell>
          <cell r="DH357">
            <v>1</v>
          </cell>
          <cell r="DI357">
            <v>1.3</v>
          </cell>
          <cell r="DJ357">
            <v>1.4</v>
          </cell>
          <cell r="DK357">
            <v>0</v>
          </cell>
          <cell r="DL357">
            <v>1</v>
          </cell>
          <cell r="DM357">
            <v>1.1000000000000001</v>
          </cell>
          <cell r="DN357">
            <v>1.2</v>
          </cell>
          <cell r="DO357">
            <v>1.3</v>
          </cell>
          <cell r="DP357">
            <v>0</v>
          </cell>
          <cell r="DQ357">
            <v>1</v>
          </cell>
          <cell r="DR357">
            <v>0</v>
          </cell>
          <cell r="DS357">
            <v>1</v>
          </cell>
          <cell r="DT357">
            <v>3.4</v>
          </cell>
          <cell r="DU357">
            <v>3.7</v>
          </cell>
          <cell r="DV357">
            <v>4.0999999999999996</v>
          </cell>
          <cell r="DW357">
            <v>4.5</v>
          </cell>
          <cell r="DX357">
            <v>5</v>
          </cell>
          <cell r="DY357">
            <v>0</v>
          </cell>
          <cell r="DZ357">
            <v>1</v>
          </cell>
          <cell r="EA357">
            <v>0</v>
          </cell>
          <cell r="EB357">
            <v>1</v>
          </cell>
          <cell r="EC357">
            <v>0</v>
          </cell>
          <cell r="ED357">
            <v>1</v>
          </cell>
          <cell r="EE357">
            <v>1.1000000000000001</v>
          </cell>
          <cell r="EF357">
            <v>1.2</v>
          </cell>
          <cell r="EG357">
            <v>1.3</v>
          </cell>
        </row>
        <row r="358">
          <cell r="A358" t="str">
            <v>02810330Multi-race, Non-Hisp./Lat.</v>
          </cell>
          <cell r="B358" t="str">
            <v>02810330M</v>
          </cell>
          <cell r="C358" t="str">
            <v>0281</v>
          </cell>
          <cell r="D358" t="str">
            <v>02810330</v>
          </cell>
          <cell r="E358" t="str">
            <v>Springfield</v>
          </cell>
          <cell r="F358" t="str">
            <v>M Marcus Kiley Middle</v>
          </cell>
          <cell r="G358" t="str">
            <v>MS</v>
          </cell>
          <cell r="H358" t="str">
            <v>Springfield - M Marcus Kiley Middle (02810330)</v>
          </cell>
          <cell r="I358" t="str">
            <v>Multi-race, Non-Hisp./Lat.</v>
          </cell>
          <cell r="J358" t="str">
            <v>02810330Multi-race, Non-Hisp./Lat.</v>
          </cell>
          <cell r="K358" t="str">
            <v>Level 4</v>
          </cell>
          <cell r="L358">
            <v>80</v>
          </cell>
          <cell r="M358">
            <v>81.7</v>
          </cell>
          <cell r="N358">
            <v>79.3</v>
          </cell>
          <cell r="O358">
            <v>83.3</v>
          </cell>
          <cell r="P358">
            <v>76.900000000000006</v>
          </cell>
          <cell r="Q358">
            <v>85</v>
          </cell>
          <cell r="R358">
            <v>86.7</v>
          </cell>
          <cell r="S358">
            <v>88.3</v>
          </cell>
          <cell r="T358">
            <v>90</v>
          </cell>
          <cell r="U358">
            <v>65.2</v>
          </cell>
          <cell r="V358" t="str">
            <v>--</v>
          </cell>
          <cell r="W358">
            <v>65.2</v>
          </cell>
          <cell r="X358">
            <v>68.099999999999994</v>
          </cell>
          <cell r="Y358">
            <v>59.6</v>
          </cell>
          <cell r="Z358">
            <v>71</v>
          </cell>
          <cell r="AA358">
            <v>73.900000000000006</v>
          </cell>
          <cell r="AB358">
            <v>76.8</v>
          </cell>
          <cell r="AC358">
            <v>79.7</v>
          </cell>
          <cell r="AD358" t="str">
            <v>--</v>
          </cell>
          <cell r="AE358" t="str">
            <v>--</v>
          </cell>
          <cell r="AF358" t="str">
            <v>--</v>
          </cell>
          <cell r="AG358" t="str">
            <v>--</v>
          </cell>
          <cell r="AH358" t="str">
            <v>--</v>
          </cell>
          <cell r="AI358" t="str">
            <v>--</v>
          </cell>
          <cell r="AJ358" t="str">
            <v>--</v>
          </cell>
          <cell r="AK358" t="str">
            <v>--</v>
          </cell>
          <cell r="AL358" t="str">
            <v>--</v>
          </cell>
          <cell r="AM358" t="str">
            <v>--</v>
          </cell>
          <cell r="AN358" t="str">
            <v>--</v>
          </cell>
          <cell r="AO358" t="str">
            <v>--</v>
          </cell>
          <cell r="AP358" t="str">
            <v>--</v>
          </cell>
          <cell r="AQ358" t="str">
            <v>--</v>
          </cell>
          <cell r="AR358" t="str">
            <v>--</v>
          </cell>
          <cell r="AS358" t="str">
            <v>--</v>
          </cell>
          <cell r="AT358" t="str">
            <v>--</v>
          </cell>
          <cell r="AU358" t="str">
            <v>--</v>
          </cell>
          <cell r="AV358" t="str">
            <v>--</v>
          </cell>
          <cell r="AW358" t="str">
            <v>--</v>
          </cell>
          <cell r="AX358" t="str">
            <v>--</v>
          </cell>
          <cell r="AY358" t="str">
            <v>--</v>
          </cell>
          <cell r="AZ358" t="str">
            <v>--</v>
          </cell>
          <cell r="BA358" t="str">
            <v>--</v>
          </cell>
          <cell r="BB358" t="str">
            <v>--</v>
          </cell>
          <cell r="BC358" t="str">
            <v>--</v>
          </cell>
          <cell r="BD358" t="str">
            <v>--</v>
          </cell>
          <cell r="BE358" t="str">
            <v>--</v>
          </cell>
          <cell r="BF358" t="str">
            <v>--</v>
          </cell>
          <cell r="BG358" t="str">
            <v>--</v>
          </cell>
          <cell r="BH358" t="str">
            <v>--</v>
          </cell>
          <cell r="BI358" t="str">
            <v>--</v>
          </cell>
          <cell r="BJ358" t="str">
            <v>--</v>
          </cell>
          <cell r="BK358" t="str">
            <v>--</v>
          </cell>
          <cell r="BL358" t="str">
            <v>--</v>
          </cell>
          <cell r="BM358" t="str">
            <v>--</v>
          </cell>
          <cell r="BN358" t="str">
            <v>--</v>
          </cell>
          <cell r="BO358" t="str">
            <v>--</v>
          </cell>
          <cell r="BP358" t="str">
            <v>--</v>
          </cell>
          <cell r="BQ358" t="str">
            <v>--</v>
          </cell>
          <cell r="BR358" t="str">
            <v>--</v>
          </cell>
          <cell r="BS358" t="str">
            <v>--</v>
          </cell>
          <cell r="BT358" t="str">
            <v>--</v>
          </cell>
          <cell r="BU358" t="str">
            <v>--</v>
          </cell>
          <cell r="BV358" t="str">
            <v>--</v>
          </cell>
          <cell r="BW358" t="str">
            <v>--</v>
          </cell>
          <cell r="BX358" t="str">
            <v>--</v>
          </cell>
          <cell r="BY358" t="str">
            <v>--</v>
          </cell>
          <cell r="BZ358" t="str">
            <v>--</v>
          </cell>
          <cell r="CA358" t="str">
            <v>--</v>
          </cell>
          <cell r="CB358" t="str">
            <v>--</v>
          </cell>
          <cell r="CC358" t="str">
            <v>--</v>
          </cell>
          <cell r="CD358" t="str">
            <v>--</v>
          </cell>
          <cell r="CE358" t="str">
            <v>--</v>
          </cell>
          <cell r="CF358">
            <v>30.8</v>
          </cell>
          <cell r="CG358">
            <v>13.5</v>
          </cell>
          <cell r="CH358">
            <v>21.7</v>
          </cell>
          <cell r="CI358">
            <v>19.5</v>
          </cell>
          <cell r="CJ358">
            <v>7.7</v>
          </cell>
          <cell r="CK358">
            <v>6.9</v>
          </cell>
          <cell r="CL358">
            <v>6.2</v>
          </cell>
          <cell r="CM358">
            <v>5.6</v>
          </cell>
          <cell r="CN358">
            <v>5.0999999999999996</v>
          </cell>
          <cell r="CO358">
            <v>30.8</v>
          </cell>
          <cell r="CP358" t="str">
            <v>--</v>
          </cell>
          <cell r="CQ358">
            <v>21.7</v>
          </cell>
          <cell r="CR358">
            <v>19.5</v>
          </cell>
          <cell r="CS358">
            <v>42.3</v>
          </cell>
          <cell r="CT358">
            <v>38.1</v>
          </cell>
          <cell r="CU358">
            <v>34.299999999999997</v>
          </cell>
          <cell r="CV358">
            <v>30.8</v>
          </cell>
          <cell r="CW358">
            <v>27.8</v>
          </cell>
          <cell r="CX358" t="str">
            <v>--</v>
          </cell>
          <cell r="CY358" t="str">
            <v>--</v>
          </cell>
          <cell r="CZ358" t="str">
            <v>--</v>
          </cell>
          <cell r="DA358" t="str">
            <v>--</v>
          </cell>
          <cell r="DB358" t="str">
            <v>--</v>
          </cell>
          <cell r="DC358" t="str">
            <v>--</v>
          </cell>
          <cell r="DD358" t="str">
            <v>--</v>
          </cell>
          <cell r="DE358" t="str">
            <v>--</v>
          </cell>
          <cell r="DF358" t="str">
            <v>--</v>
          </cell>
          <cell r="DG358">
            <v>0</v>
          </cell>
          <cell r="DH358">
            <v>1</v>
          </cell>
          <cell r="DI358">
            <v>4.3</v>
          </cell>
          <cell r="DJ358">
            <v>4.7</v>
          </cell>
          <cell r="DK358">
            <v>3.8</v>
          </cell>
          <cell r="DL358">
            <v>4.2</v>
          </cell>
          <cell r="DM358">
            <v>4.5999999999999996</v>
          </cell>
          <cell r="DN358">
            <v>5.0999999999999996</v>
          </cell>
          <cell r="DO358">
            <v>5.6</v>
          </cell>
          <cell r="DP358">
            <v>7.7</v>
          </cell>
          <cell r="DQ358" t="str">
            <v>--</v>
          </cell>
          <cell r="DR358">
            <v>8.6999999999999993</v>
          </cell>
          <cell r="DS358">
            <v>9.6</v>
          </cell>
          <cell r="DT358">
            <v>3.8</v>
          </cell>
          <cell r="DU358">
            <v>4.2</v>
          </cell>
          <cell r="DV358">
            <v>4.5999999999999996</v>
          </cell>
          <cell r="DW358">
            <v>5.0999999999999996</v>
          </cell>
          <cell r="DX358">
            <v>5.6</v>
          </cell>
          <cell r="DY358" t="str">
            <v>--</v>
          </cell>
          <cell r="DZ358" t="str">
            <v>--</v>
          </cell>
          <cell r="EA358" t="str">
            <v>--</v>
          </cell>
          <cell r="EB358" t="str">
            <v>--</v>
          </cell>
          <cell r="EC358" t="str">
            <v>--</v>
          </cell>
          <cell r="ED358" t="str">
            <v>--</v>
          </cell>
          <cell r="EE358" t="str">
            <v>--</v>
          </cell>
          <cell r="EF358" t="str">
            <v>--</v>
          </cell>
          <cell r="EG358" t="str">
            <v>--</v>
          </cell>
        </row>
        <row r="359">
          <cell r="A359" t="str">
            <v>02810330Amer. Ind. or Alaska Nat.</v>
          </cell>
          <cell r="B359" t="str">
            <v>02810330N</v>
          </cell>
          <cell r="C359" t="str">
            <v>0281</v>
          </cell>
          <cell r="D359" t="str">
            <v>02810330</v>
          </cell>
          <cell r="E359" t="str">
            <v>Springfield</v>
          </cell>
          <cell r="F359" t="str">
            <v>M Marcus Kiley Middle</v>
          </cell>
          <cell r="G359" t="str">
            <v>MS</v>
          </cell>
          <cell r="H359" t="str">
            <v>Springfield - M Marcus Kiley Middle (02810330)</v>
          </cell>
          <cell r="I359" t="str">
            <v>Amer. Ind. or Alaska Nat.</v>
          </cell>
          <cell r="J359" t="str">
            <v>02810330Amer. Ind. or Alaska Nat.</v>
          </cell>
          <cell r="K359" t="str">
            <v>--</v>
          </cell>
          <cell r="L359" t="str">
            <v>--</v>
          </cell>
          <cell r="M359" t="str">
            <v>--</v>
          </cell>
          <cell r="N359" t="str">
            <v>--</v>
          </cell>
          <cell r="O359" t="str">
            <v>--</v>
          </cell>
          <cell r="P359" t="str">
            <v>--</v>
          </cell>
          <cell r="Q359" t="str">
            <v>--</v>
          </cell>
          <cell r="R359" t="str">
            <v>--</v>
          </cell>
          <cell r="S359" t="str">
            <v>--</v>
          </cell>
          <cell r="T359" t="str">
            <v>--</v>
          </cell>
          <cell r="U359" t="str">
            <v>--</v>
          </cell>
          <cell r="V359" t="str">
            <v>--</v>
          </cell>
          <cell r="W359" t="str">
            <v>--</v>
          </cell>
          <cell r="X359" t="str">
            <v>--</v>
          </cell>
          <cell r="Y359" t="str">
            <v>--</v>
          </cell>
          <cell r="Z359" t="str">
            <v>--</v>
          </cell>
          <cell r="AA359" t="str">
            <v>--</v>
          </cell>
          <cell r="AB359" t="str">
            <v>--</v>
          </cell>
          <cell r="AC359" t="str">
            <v>--</v>
          </cell>
          <cell r="AD359" t="str">
            <v>--</v>
          </cell>
          <cell r="AE359" t="str">
            <v>--</v>
          </cell>
          <cell r="AF359" t="str">
            <v>--</v>
          </cell>
          <cell r="AG359" t="str">
            <v>--</v>
          </cell>
          <cell r="AH359" t="str">
            <v>--</v>
          </cell>
          <cell r="AI359" t="str">
            <v>--</v>
          </cell>
          <cell r="AJ359" t="str">
            <v>--</v>
          </cell>
          <cell r="AK359" t="str">
            <v>--</v>
          </cell>
          <cell r="AL359" t="str">
            <v>--</v>
          </cell>
          <cell r="AM359" t="str">
            <v>--</v>
          </cell>
          <cell r="AN359" t="str">
            <v>--</v>
          </cell>
          <cell r="AO359" t="str">
            <v>--</v>
          </cell>
          <cell r="AP359" t="str">
            <v>--</v>
          </cell>
          <cell r="AQ359" t="str">
            <v>--</v>
          </cell>
          <cell r="AR359" t="str">
            <v>--</v>
          </cell>
          <cell r="AS359" t="str">
            <v>--</v>
          </cell>
          <cell r="AT359" t="str">
            <v>--</v>
          </cell>
          <cell r="AU359" t="str">
            <v>--</v>
          </cell>
          <cell r="AV359" t="str">
            <v>--</v>
          </cell>
          <cell r="AW359" t="str">
            <v>--</v>
          </cell>
          <cell r="AX359" t="str">
            <v>--</v>
          </cell>
          <cell r="AY359" t="str">
            <v>--</v>
          </cell>
          <cell r="AZ359" t="str">
            <v>--</v>
          </cell>
          <cell r="BA359" t="str">
            <v>--</v>
          </cell>
          <cell r="BB359" t="str">
            <v>--</v>
          </cell>
          <cell r="BC359" t="str">
            <v>--</v>
          </cell>
          <cell r="BD359" t="str">
            <v>--</v>
          </cell>
          <cell r="BE359" t="str">
            <v>--</v>
          </cell>
          <cell r="BF359" t="str">
            <v>--</v>
          </cell>
          <cell r="BG359" t="str">
            <v>--</v>
          </cell>
          <cell r="BH359" t="str">
            <v>--</v>
          </cell>
          <cell r="BI359" t="str">
            <v>--</v>
          </cell>
          <cell r="BJ359" t="str">
            <v>--</v>
          </cell>
          <cell r="BK359" t="str">
            <v>--</v>
          </cell>
          <cell r="BL359" t="str">
            <v>--</v>
          </cell>
          <cell r="BM359" t="str">
            <v>--</v>
          </cell>
          <cell r="BN359" t="str">
            <v>--</v>
          </cell>
          <cell r="BO359" t="str">
            <v>--</v>
          </cell>
          <cell r="BP359" t="str">
            <v>--</v>
          </cell>
          <cell r="BQ359" t="str">
            <v>--</v>
          </cell>
          <cell r="BR359" t="str">
            <v>--</v>
          </cell>
          <cell r="BS359" t="str">
            <v>--</v>
          </cell>
          <cell r="BT359" t="str">
            <v>--</v>
          </cell>
          <cell r="BU359" t="str">
            <v>--</v>
          </cell>
          <cell r="BV359" t="str">
            <v>--</v>
          </cell>
          <cell r="BW359" t="str">
            <v>--</v>
          </cell>
          <cell r="BX359" t="str">
            <v>--</v>
          </cell>
          <cell r="BY359" t="str">
            <v>--</v>
          </cell>
          <cell r="BZ359" t="str">
            <v>--</v>
          </cell>
          <cell r="CA359" t="str">
            <v>--</v>
          </cell>
          <cell r="CB359" t="str">
            <v>--</v>
          </cell>
          <cell r="CC359" t="str">
            <v>--</v>
          </cell>
          <cell r="CD359" t="str">
            <v>--</v>
          </cell>
          <cell r="CE359" t="str">
            <v>--</v>
          </cell>
          <cell r="CF359" t="str">
            <v>--</v>
          </cell>
          <cell r="CG359" t="str">
            <v>--</v>
          </cell>
          <cell r="CH359" t="str">
            <v>--</v>
          </cell>
          <cell r="CI359" t="str">
            <v>--</v>
          </cell>
          <cell r="CJ359" t="str">
            <v>--</v>
          </cell>
          <cell r="CK359" t="str">
            <v>--</v>
          </cell>
          <cell r="CL359" t="str">
            <v>--</v>
          </cell>
          <cell r="CM359" t="str">
            <v>--</v>
          </cell>
          <cell r="CN359" t="str">
            <v>--</v>
          </cell>
          <cell r="CO359" t="str">
            <v>--</v>
          </cell>
          <cell r="CP359" t="str">
            <v>--</v>
          </cell>
          <cell r="CQ359" t="str">
            <v>--</v>
          </cell>
          <cell r="CR359" t="str">
            <v>--</v>
          </cell>
          <cell r="CS359" t="str">
            <v>--</v>
          </cell>
          <cell r="CT359" t="str">
            <v>--</v>
          </cell>
          <cell r="CU359" t="str">
            <v>--</v>
          </cell>
          <cell r="CV359" t="str">
            <v>--</v>
          </cell>
          <cell r="CW359" t="str">
            <v>--</v>
          </cell>
          <cell r="CX359" t="str">
            <v>--</v>
          </cell>
          <cell r="CY359" t="str">
            <v>--</v>
          </cell>
          <cell r="CZ359" t="str">
            <v>--</v>
          </cell>
          <cell r="DA359" t="str">
            <v>--</v>
          </cell>
          <cell r="DB359" t="str">
            <v>--</v>
          </cell>
          <cell r="DC359" t="str">
            <v>--</v>
          </cell>
          <cell r="DD359" t="str">
            <v>--</v>
          </cell>
          <cell r="DE359" t="str">
            <v>--</v>
          </cell>
          <cell r="DF359" t="str">
            <v>--</v>
          </cell>
          <cell r="DG359" t="str">
            <v>--</v>
          </cell>
          <cell r="DH359" t="str">
            <v>--</v>
          </cell>
          <cell r="DI359" t="str">
            <v>--</v>
          </cell>
          <cell r="DJ359" t="str">
            <v>--</v>
          </cell>
          <cell r="DK359" t="str">
            <v>--</v>
          </cell>
          <cell r="DL359" t="str">
            <v>--</v>
          </cell>
          <cell r="DM359" t="str">
            <v>--</v>
          </cell>
          <cell r="DN359" t="str">
            <v>--</v>
          </cell>
          <cell r="DO359" t="str">
            <v>--</v>
          </cell>
          <cell r="DP359" t="str">
            <v>--</v>
          </cell>
          <cell r="DQ359" t="str">
            <v>--</v>
          </cell>
          <cell r="DR359" t="str">
            <v>--</v>
          </cell>
          <cell r="DS359" t="str">
            <v>--</v>
          </cell>
          <cell r="DT359" t="str">
            <v>--</v>
          </cell>
          <cell r="DU359" t="str">
            <v>--</v>
          </cell>
          <cell r="DV359" t="str">
            <v>--</v>
          </cell>
          <cell r="DW359" t="str">
            <v>--</v>
          </cell>
          <cell r="DX359" t="str">
            <v>--</v>
          </cell>
          <cell r="DY359" t="str">
            <v>--</v>
          </cell>
          <cell r="DZ359" t="str">
            <v>--</v>
          </cell>
          <cell r="EA359" t="str">
            <v>--</v>
          </cell>
          <cell r="EB359" t="str">
            <v>--</v>
          </cell>
          <cell r="EC359" t="str">
            <v>--</v>
          </cell>
          <cell r="ED359" t="str">
            <v>--</v>
          </cell>
          <cell r="EE359" t="str">
            <v>--</v>
          </cell>
          <cell r="EF359" t="str">
            <v>--</v>
          </cell>
          <cell r="EG359" t="str">
            <v>--</v>
          </cell>
        </row>
        <row r="360">
          <cell r="A360" t="str">
            <v>02810330Nat. Haw. or Pacif. Isl.</v>
          </cell>
          <cell r="B360" t="str">
            <v>02810330P</v>
          </cell>
          <cell r="C360" t="str">
            <v>0281</v>
          </cell>
          <cell r="D360" t="str">
            <v>02810330</v>
          </cell>
          <cell r="E360" t="str">
            <v>Springfield</v>
          </cell>
          <cell r="F360" t="str">
            <v>M Marcus Kiley Middle</v>
          </cell>
          <cell r="G360" t="str">
            <v>MS</v>
          </cell>
          <cell r="H360" t="str">
            <v>Springfield - M Marcus Kiley Middle (02810330)</v>
          </cell>
          <cell r="I360" t="str">
            <v>Nat. Haw. or Pacif. Isl.</v>
          </cell>
          <cell r="J360" t="str">
            <v>02810330Nat. Haw. or Pacif. Isl.</v>
          </cell>
          <cell r="K360" t="str">
            <v>Level 4</v>
          </cell>
          <cell r="L360" t="str">
            <v>--</v>
          </cell>
          <cell r="M360" t="str">
            <v>--</v>
          </cell>
          <cell r="N360" t="str">
            <v>--</v>
          </cell>
          <cell r="O360" t="str">
            <v>--</v>
          </cell>
          <cell r="P360" t="str">
            <v>--</v>
          </cell>
          <cell r="Q360" t="str">
            <v>--</v>
          </cell>
          <cell r="R360" t="str">
            <v>--</v>
          </cell>
          <cell r="S360" t="str">
            <v>--</v>
          </cell>
          <cell r="T360" t="str">
            <v>--</v>
          </cell>
          <cell r="U360" t="str">
            <v>--</v>
          </cell>
          <cell r="V360" t="str">
            <v>--</v>
          </cell>
          <cell r="W360" t="str">
            <v>--</v>
          </cell>
          <cell r="X360" t="str">
            <v>--</v>
          </cell>
          <cell r="Y360" t="str">
            <v>--</v>
          </cell>
          <cell r="Z360" t="str">
            <v>--</v>
          </cell>
          <cell r="AA360" t="str">
            <v>--</v>
          </cell>
          <cell r="AB360" t="str">
            <v>--</v>
          </cell>
          <cell r="AC360" t="str">
            <v>--</v>
          </cell>
          <cell r="AD360" t="str">
            <v>--</v>
          </cell>
          <cell r="AE360" t="str">
            <v>--</v>
          </cell>
          <cell r="AF360" t="str">
            <v>--</v>
          </cell>
          <cell r="AG360" t="str">
            <v>--</v>
          </cell>
          <cell r="AH360" t="str">
            <v>--</v>
          </cell>
          <cell r="AI360" t="str">
            <v>--</v>
          </cell>
          <cell r="AJ360" t="str">
            <v>--</v>
          </cell>
          <cell r="AK360" t="str">
            <v>--</v>
          </cell>
          <cell r="AL360" t="str">
            <v>--</v>
          </cell>
          <cell r="AM360" t="str">
            <v>--</v>
          </cell>
          <cell r="AN360" t="str">
            <v>--</v>
          </cell>
          <cell r="AO360" t="str">
            <v>--</v>
          </cell>
          <cell r="AP360" t="str">
            <v>--</v>
          </cell>
          <cell r="AQ360" t="str">
            <v>--</v>
          </cell>
          <cell r="AR360" t="str">
            <v>--</v>
          </cell>
          <cell r="AS360" t="str">
            <v>--</v>
          </cell>
          <cell r="AT360" t="str">
            <v>--</v>
          </cell>
          <cell r="AU360" t="str">
            <v>--</v>
          </cell>
          <cell r="AV360" t="str">
            <v>--</v>
          </cell>
          <cell r="AW360" t="str">
            <v>--</v>
          </cell>
          <cell r="AX360" t="str">
            <v>--</v>
          </cell>
          <cell r="AY360" t="str">
            <v>--</v>
          </cell>
          <cell r="AZ360" t="str">
            <v>--</v>
          </cell>
          <cell r="BA360" t="str">
            <v>--</v>
          </cell>
          <cell r="BB360" t="str">
            <v>--</v>
          </cell>
          <cell r="BC360" t="str">
            <v>--</v>
          </cell>
          <cell r="BD360" t="str">
            <v>--</v>
          </cell>
          <cell r="BE360" t="str">
            <v>--</v>
          </cell>
          <cell r="BF360" t="str">
            <v>--</v>
          </cell>
          <cell r="BG360" t="str">
            <v>--</v>
          </cell>
          <cell r="BH360" t="str">
            <v>--</v>
          </cell>
          <cell r="BI360" t="str">
            <v>--</v>
          </cell>
          <cell r="BJ360" t="str">
            <v>--</v>
          </cell>
          <cell r="BK360" t="str">
            <v>--</v>
          </cell>
          <cell r="BL360" t="str">
            <v>--</v>
          </cell>
          <cell r="BM360" t="str">
            <v>--</v>
          </cell>
          <cell r="BN360" t="str">
            <v>--</v>
          </cell>
          <cell r="BO360" t="str">
            <v>--</v>
          </cell>
          <cell r="BP360" t="str">
            <v>--</v>
          </cell>
          <cell r="BQ360" t="str">
            <v>--</v>
          </cell>
          <cell r="BR360" t="str">
            <v>--</v>
          </cell>
          <cell r="BS360" t="str">
            <v>--</v>
          </cell>
          <cell r="BT360" t="str">
            <v>--</v>
          </cell>
          <cell r="BU360" t="str">
            <v>--</v>
          </cell>
          <cell r="BV360" t="str">
            <v>--</v>
          </cell>
          <cell r="BW360" t="str">
            <v>--</v>
          </cell>
          <cell r="BX360" t="str">
            <v>--</v>
          </cell>
          <cell r="BY360" t="str">
            <v>--</v>
          </cell>
          <cell r="BZ360" t="str">
            <v>--</v>
          </cell>
          <cell r="CA360" t="str">
            <v>--</v>
          </cell>
          <cell r="CB360" t="str">
            <v>--</v>
          </cell>
          <cell r="CC360" t="str">
            <v>--</v>
          </cell>
          <cell r="CD360" t="str">
            <v>--</v>
          </cell>
          <cell r="CE360" t="str">
            <v>--</v>
          </cell>
          <cell r="CF360" t="str">
            <v>--</v>
          </cell>
          <cell r="CG360" t="str">
            <v>--</v>
          </cell>
          <cell r="CH360" t="str">
            <v>--</v>
          </cell>
          <cell r="CI360" t="str">
            <v>--</v>
          </cell>
          <cell r="CJ360" t="str">
            <v>--</v>
          </cell>
          <cell r="CK360" t="str">
            <v>--</v>
          </cell>
          <cell r="CL360" t="str">
            <v>--</v>
          </cell>
          <cell r="CM360" t="str">
            <v>--</v>
          </cell>
          <cell r="CN360" t="str">
            <v>--</v>
          </cell>
          <cell r="CO360" t="str">
            <v>--</v>
          </cell>
          <cell r="CP360" t="str">
            <v>--</v>
          </cell>
          <cell r="CQ360" t="str">
            <v>--</v>
          </cell>
          <cell r="CR360" t="str">
            <v>--</v>
          </cell>
          <cell r="CS360" t="str">
            <v>--</v>
          </cell>
          <cell r="CT360" t="str">
            <v>--</v>
          </cell>
          <cell r="CU360" t="str">
            <v>--</v>
          </cell>
          <cell r="CV360" t="str">
            <v>--</v>
          </cell>
          <cell r="CW360" t="str">
            <v>--</v>
          </cell>
          <cell r="CX360" t="str">
            <v>--</v>
          </cell>
          <cell r="CY360" t="str">
            <v>--</v>
          </cell>
          <cell r="CZ360" t="str">
            <v>--</v>
          </cell>
          <cell r="DA360" t="str">
            <v>--</v>
          </cell>
          <cell r="DB360" t="str">
            <v>--</v>
          </cell>
          <cell r="DC360" t="str">
            <v>--</v>
          </cell>
          <cell r="DD360" t="str">
            <v>--</v>
          </cell>
          <cell r="DE360" t="str">
            <v>--</v>
          </cell>
          <cell r="DF360" t="str">
            <v>--</v>
          </cell>
          <cell r="DG360" t="str">
            <v>--</v>
          </cell>
          <cell r="DH360" t="str">
            <v>--</v>
          </cell>
          <cell r="DI360" t="str">
            <v>--</v>
          </cell>
          <cell r="DJ360" t="str">
            <v>--</v>
          </cell>
          <cell r="DK360" t="str">
            <v>--</v>
          </cell>
          <cell r="DL360" t="str">
            <v>--</v>
          </cell>
          <cell r="DM360" t="str">
            <v>--</v>
          </cell>
          <cell r="DN360" t="str">
            <v>--</v>
          </cell>
          <cell r="DO360" t="str">
            <v>--</v>
          </cell>
          <cell r="DP360" t="str">
            <v>--</v>
          </cell>
          <cell r="DQ360" t="str">
            <v>--</v>
          </cell>
          <cell r="DR360" t="str">
            <v>--</v>
          </cell>
          <cell r="DS360" t="str">
            <v>--</v>
          </cell>
          <cell r="DT360" t="str">
            <v>--</v>
          </cell>
          <cell r="DU360" t="str">
            <v>--</v>
          </cell>
          <cell r="DV360" t="str">
            <v>--</v>
          </cell>
          <cell r="DW360" t="str">
            <v>--</v>
          </cell>
          <cell r="DX360" t="str">
            <v>--</v>
          </cell>
          <cell r="DY360" t="str">
            <v>--</v>
          </cell>
          <cell r="DZ360" t="str">
            <v>--</v>
          </cell>
          <cell r="EA360" t="str">
            <v>--</v>
          </cell>
          <cell r="EB360" t="str">
            <v>--</v>
          </cell>
          <cell r="EC360" t="str">
            <v>--</v>
          </cell>
          <cell r="ED360" t="str">
            <v>--</v>
          </cell>
          <cell r="EE360" t="str">
            <v>--</v>
          </cell>
          <cell r="EF360" t="str">
            <v>--</v>
          </cell>
          <cell r="EG360" t="str">
            <v>--</v>
          </cell>
        </row>
        <row r="361">
          <cell r="A361" t="str">
            <v>02810330High needs</v>
          </cell>
          <cell r="B361" t="str">
            <v>02810330S</v>
          </cell>
          <cell r="C361" t="str">
            <v>0281</v>
          </cell>
          <cell r="D361" t="str">
            <v>02810330</v>
          </cell>
          <cell r="E361" t="str">
            <v>Springfield</v>
          </cell>
          <cell r="F361" t="str">
            <v>M Marcus Kiley Middle</v>
          </cell>
          <cell r="G361" t="str">
            <v>MS</v>
          </cell>
          <cell r="H361" t="str">
            <v>Springfield - M Marcus Kiley Middle (02810330)</v>
          </cell>
          <cell r="I361" t="str">
            <v>High needs</v>
          </cell>
          <cell r="J361" t="str">
            <v>02810330High needs</v>
          </cell>
          <cell r="K361" t="str">
            <v>Level 4</v>
          </cell>
          <cell r="L361">
            <v>62.1</v>
          </cell>
          <cell r="M361">
            <v>65.3</v>
          </cell>
          <cell r="N361">
            <v>66.2</v>
          </cell>
          <cell r="O361">
            <v>68.400000000000006</v>
          </cell>
          <cell r="P361">
            <v>63.9</v>
          </cell>
          <cell r="Q361">
            <v>72.900000000000006</v>
          </cell>
          <cell r="R361">
            <v>76</v>
          </cell>
          <cell r="S361">
            <v>79.2</v>
          </cell>
          <cell r="T361">
            <v>82.4</v>
          </cell>
          <cell r="U361">
            <v>41.3</v>
          </cell>
          <cell r="V361">
            <v>46.2</v>
          </cell>
          <cell r="W361">
            <v>45.4</v>
          </cell>
          <cell r="X361">
            <v>51.1</v>
          </cell>
          <cell r="Y361">
            <v>44.8</v>
          </cell>
          <cell r="Z361">
            <v>57.3</v>
          </cell>
          <cell r="AA361">
            <v>62.2</v>
          </cell>
          <cell r="AB361">
            <v>67.099999999999994</v>
          </cell>
          <cell r="AC361">
            <v>72</v>
          </cell>
          <cell r="AD361">
            <v>34.5</v>
          </cell>
          <cell r="AE361">
            <v>40</v>
          </cell>
          <cell r="AF361">
            <v>38.1</v>
          </cell>
          <cell r="AG361">
            <v>45.4</v>
          </cell>
          <cell r="AH361">
            <v>37.9</v>
          </cell>
          <cell r="AI361">
            <v>52.2</v>
          </cell>
          <cell r="AJ361">
            <v>57.6</v>
          </cell>
          <cell r="AK361">
            <v>63.1</v>
          </cell>
          <cell r="AL361">
            <v>68.599999999999994</v>
          </cell>
          <cell r="AM361" t="str">
            <v>--</v>
          </cell>
          <cell r="AN361" t="str">
            <v>--</v>
          </cell>
          <cell r="AO361" t="str">
            <v>--</v>
          </cell>
          <cell r="AP361" t="str">
            <v>--</v>
          </cell>
          <cell r="AQ361" t="str">
            <v>--</v>
          </cell>
          <cell r="AR361" t="str">
            <v>--</v>
          </cell>
          <cell r="AS361" t="str">
            <v>--</v>
          </cell>
          <cell r="AT361" t="str">
            <v>--</v>
          </cell>
          <cell r="AU361" t="str">
            <v>--</v>
          </cell>
          <cell r="AV361" t="str">
            <v>--</v>
          </cell>
          <cell r="AW361" t="str">
            <v>--</v>
          </cell>
          <cell r="AX361" t="str">
            <v>--</v>
          </cell>
          <cell r="AY361" t="str">
            <v>--</v>
          </cell>
          <cell r="AZ361" t="str">
            <v>--</v>
          </cell>
          <cell r="BA361" t="str">
            <v>--</v>
          </cell>
          <cell r="BB361" t="str">
            <v>--</v>
          </cell>
          <cell r="BC361" t="str">
            <v>--</v>
          </cell>
          <cell r="BD361" t="str">
            <v>--</v>
          </cell>
          <cell r="BE361" t="str">
            <v>--</v>
          </cell>
          <cell r="BF361" t="str">
            <v>--</v>
          </cell>
          <cell r="BG361" t="str">
            <v>--</v>
          </cell>
          <cell r="BH361" t="str">
            <v>--</v>
          </cell>
          <cell r="BI361" t="str">
            <v>--</v>
          </cell>
          <cell r="BJ361" t="str">
            <v>--</v>
          </cell>
          <cell r="BK361" t="str">
            <v>--</v>
          </cell>
          <cell r="BL361" t="str">
            <v>--</v>
          </cell>
          <cell r="BM361" t="str">
            <v>--</v>
          </cell>
          <cell r="BN361">
            <v>26</v>
          </cell>
          <cell r="BO361">
            <v>36</v>
          </cell>
          <cell r="BP361">
            <v>29</v>
          </cell>
          <cell r="BQ361">
            <v>39</v>
          </cell>
          <cell r="BR361">
            <v>30</v>
          </cell>
          <cell r="BS361">
            <v>44.5</v>
          </cell>
          <cell r="BT361">
            <v>59</v>
          </cell>
          <cell r="BU361">
            <v>60</v>
          </cell>
          <cell r="BV361">
            <v>60</v>
          </cell>
          <cell r="BW361">
            <v>26</v>
          </cell>
          <cell r="BX361">
            <v>36</v>
          </cell>
          <cell r="BY361">
            <v>26</v>
          </cell>
          <cell r="BZ361">
            <v>36</v>
          </cell>
          <cell r="CA361">
            <v>26</v>
          </cell>
          <cell r="CB361">
            <v>40.5</v>
          </cell>
          <cell r="CC361">
            <v>55</v>
          </cell>
          <cell r="CD361">
            <v>60</v>
          </cell>
          <cell r="CE361">
            <v>60</v>
          </cell>
          <cell r="CF361">
            <v>28</v>
          </cell>
          <cell r="CG361">
            <v>25.2</v>
          </cell>
          <cell r="CH361">
            <v>23.1</v>
          </cell>
          <cell r="CI361">
            <v>20.8</v>
          </cell>
          <cell r="CJ361">
            <v>24.8</v>
          </cell>
          <cell r="CK361">
            <v>22.3</v>
          </cell>
          <cell r="CL361">
            <v>20.100000000000001</v>
          </cell>
          <cell r="CM361">
            <v>18.100000000000001</v>
          </cell>
          <cell r="CN361">
            <v>16.3</v>
          </cell>
          <cell r="CO361">
            <v>60.6</v>
          </cell>
          <cell r="CP361">
            <v>54.5</v>
          </cell>
          <cell r="CQ361">
            <v>54.1</v>
          </cell>
          <cell r="CR361">
            <v>48.7</v>
          </cell>
          <cell r="CS361">
            <v>58.5</v>
          </cell>
          <cell r="CT361">
            <v>52.7</v>
          </cell>
          <cell r="CU361">
            <v>47.4</v>
          </cell>
          <cell r="CV361">
            <v>42.6</v>
          </cell>
          <cell r="CW361">
            <v>38.4</v>
          </cell>
          <cell r="CX361">
            <v>62.9</v>
          </cell>
          <cell r="CY361">
            <v>56.6</v>
          </cell>
          <cell r="CZ361">
            <v>60.5</v>
          </cell>
          <cell r="DA361">
            <v>54.5</v>
          </cell>
          <cell r="DB361">
            <v>63.2</v>
          </cell>
          <cell r="DC361">
            <v>56.9</v>
          </cell>
          <cell r="DD361">
            <v>51.2</v>
          </cell>
          <cell r="DE361">
            <v>46.1</v>
          </cell>
          <cell r="DF361">
            <v>41.5</v>
          </cell>
          <cell r="DG361">
            <v>0.9</v>
          </cell>
          <cell r="DH361">
            <v>1</v>
          </cell>
          <cell r="DI361">
            <v>2.6</v>
          </cell>
          <cell r="DJ361">
            <v>2.9</v>
          </cell>
          <cell r="DK361">
            <v>1.4</v>
          </cell>
          <cell r="DL361">
            <v>1.5</v>
          </cell>
          <cell r="DM361">
            <v>1.7</v>
          </cell>
          <cell r="DN361">
            <v>1.9</v>
          </cell>
          <cell r="DO361">
            <v>2</v>
          </cell>
          <cell r="DP361">
            <v>2</v>
          </cell>
          <cell r="DQ361">
            <v>2.2000000000000002</v>
          </cell>
          <cell r="DR361">
            <v>2.8</v>
          </cell>
          <cell r="DS361">
            <v>3.1</v>
          </cell>
          <cell r="DT361">
            <v>3</v>
          </cell>
          <cell r="DU361">
            <v>3.3</v>
          </cell>
          <cell r="DV361">
            <v>3.6</v>
          </cell>
          <cell r="DW361">
            <v>4</v>
          </cell>
          <cell r="DX361">
            <v>4.4000000000000004</v>
          </cell>
          <cell r="DY361">
            <v>0</v>
          </cell>
          <cell r="DZ361">
            <v>1</v>
          </cell>
          <cell r="EA361">
            <v>0</v>
          </cell>
          <cell r="EB361">
            <v>1</v>
          </cell>
          <cell r="EC361">
            <v>0.5</v>
          </cell>
          <cell r="ED361">
            <v>0.6</v>
          </cell>
          <cell r="EE361">
            <v>0.6</v>
          </cell>
          <cell r="EF361">
            <v>0.7</v>
          </cell>
          <cell r="EG361">
            <v>0.7</v>
          </cell>
        </row>
        <row r="362">
          <cell r="A362" t="str">
            <v>02810330All students</v>
          </cell>
          <cell r="B362" t="str">
            <v>02810330T</v>
          </cell>
          <cell r="C362" t="str">
            <v>0281</v>
          </cell>
          <cell r="D362" t="str">
            <v>02810330</v>
          </cell>
          <cell r="E362" t="str">
            <v>Springfield</v>
          </cell>
          <cell r="F362" t="str">
            <v>M Marcus Kiley Middle</v>
          </cell>
          <cell r="G362" t="str">
            <v>MS</v>
          </cell>
          <cell r="H362" t="str">
            <v>Springfield - M Marcus Kiley Middle (02810330)</v>
          </cell>
          <cell r="I362" t="str">
            <v>All students</v>
          </cell>
          <cell r="J362" t="str">
            <v>02810330All students</v>
          </cell>
          <cell r="K362" t="str">
            <v>Level 4</v>
          </cell>
          <cell r="L362">
            <v>63.3</v>
          </cell>
          <cell r="M362">
            <v>66.400000000000006</v>
          </cell>
          <cell r="N362">
            <v>67.900000000000006</v>
          </cell>
          <cell r="O362">
            <v>69.400000000000006</v>
          </cell>
          <cell r="P362">
            <v>65.2</v>
          </cell>
          <cell r="Q362">
            <v>73.8</v>
          </cell>
          <cell r="R362">
            <v>76.8</v>
          </cell>
          <cell r="S362">
            <v>79.900000000000006</v>
          </cell>
          <cell r="T362">
            <v>83</v>
          </cell>
          <cell r="U362">
            <v>42.3</v>
          </cell>
          <cell r="V362">
            <v>47.1</v>
          </cell>
          <cell r="W362">
            <v>47.1</v>
          </cell>
          <cell r="X362">
            <v>51.9</v>
          </cell>
          <cell r="Y362">
            <v>46.3</v>
          </cell>
          <cell r="Z362">
            <v>58</v>
          </cell>
          <cell r="AA362">
            <v>62.8</v>
          </cell>
          <cell r="AB362">
            <v>67.599999999999994</v>
          </cell>
          <cell r="AC362">
            <v>72.5</v>
          </cell>
          <cell r="AD362">
            <v>35.5</v>
          </cell>
          <cell r="AE362">
            <v>40.9</v>
          </cell>
          <cell r="AF362">
            <v>40.200000000000003</v>
          </cell>
          <cell r="AG362">
            <v>46.3</v>
          </cell>
          <cell r="AH362">
            <v>39.1</v>
          </cell>
          <cell r="AI362">
            <v>52.9</v>
          </cell>
          <cell r="AJ362">
            <v>58.3</v>
          </cell>
          <cell r="AK362">
            <v>63.7</v>
          </cell>
          <cell r="AL362">
            <v>69.099999999999994</v>
          </cell>
          <cell r="AM362" t="str">
            <v>--</v>
          </cell>
          <cell r="AN362" t="str">
            <v>--</v>
          </cell>
          <cell r="AO362" t="str">
            <v>--</v>
          </cell>
          <cell r="AP362" t="str">
            <v>--</v>
          </cell>
          <cell r="AQ362" t="str">
            <v>--</v>
          </cell>
          <cell r="AR362" t="str">
            <v>--</v>
          </cell>
          <cell r="AS362" t="str">
            <v>--</v>
          </cell>
          <cell r="AT362" t="str">
            <v>--</v>
          </cell>
          <cell r="AU362" t="str">
            <v>--</v>
          </cell>
          <cell r="AV362" t="str">
            <v>--</v>
          </cell>
          <cell r="AW362" t="str">
            <v>--</v>
          </cell>
          <cell r="AX362" t="str">
            <v>--</v>
          </cell>
          <cell r="AY362" t="str">
            <v>--</v>
          </cell>
          <cell r="AZ362" t="str">
            <v>--</v>
          </cell>
          <cell r="BA362" t="str">
            <v>--</v>
          </cell>
          <cell r="BB362" t="str">
            <v>--</v>
          </cell>
          <cell r="BC362" t="str">
            <v>--</v>
          </cell>
          <cell r="BD362" t="str">
            <v>--</v>
          </cell>
          <cell r="BE362" t="str">
            <v>--</v>
          </cell>
          <cell r="BF362" t="str">
            <v>--</v>
          </cell>
          <cell r="BG362" t="str">
            <v>--</v>
          </cell>
          <cell r="BH362" t="str">
            <v>--</v>
          </cell>
          <cell r="BI362" t="str">
            <v>--</v>
          </cell>
          <cell r="BJ362" t="str">
            <v>--</v>
          </cell>
          <cell r="BK362" t="str">
            <v>--</v>
          </cell>
          <cell r="BL362" t="str">
            <v>--</v>
          </cell>
          <cell r="BM362" t="str">
            <v>--</v>
          </cell>
          <cell r="BN362">
            <v>26</v>
          </cell>
          <cell r="BO362">
            <v>36</v>
          </cell>
          <cell r="BP362">
            <v>30</v>
          </cell>
          <cell r="BQ362">
            <v>40</v>
          </cell>
          <cell r="BR362">
            <v>30</v>
          </cell>
          <cell r="BS362">
            <v>44.5</v>
          </cell>
          <cell r="BT362">
            <v>59</v>
          </cell>
          <cell r="BU362">
            <v>60</v>
          </cell>
          <cell r="BV362">
            <v>60</v>
          </cell>
          <cell r="BW362">
            <v>27</v>
          </cell>
          <cell r="BX362">
            <v>37</v>
          </cell>
          <cell r="BY362">
            <v>26.5</v>
          </cell>
          <cell r="BZ362">
            <v>36.5</v>
          </cell>
          <cell r="CA362">
            <v>26</v>
          </cell>
          <cell r="CB362">
            <v>40.5</v>
          </cell>
          <cell r="CC362">
            <v>55</v>
          </cell>
          <cell r="CD362">
            <v>60</v>
          </cell>
          <cell r="CE362">
            <v>60</v>
          </cell>
          <cell r="CF362">
            <v>26.8</v>
          </cell>
          <cell r="CG362">
            <v>24.1</v>
          </cell>
          <cell r="CH362">
            <v>21.6</v>
          </cell>
          <cell r="CI362">
            <v>19.399999999999999</v>
          </cell>
          <cell r="CJ362">
            <v>23.4</v>
          </cell>
          <cell r="CK362">
            <v>21.1</v>
          </cell>
          <cell r="CL362">
            <v>19</v>
          </cell>
          <cell r="CM362">
            <v>17.100000000000001</v>
          </cell>
          <cell r="CN362">
            <v>15.4</v>
          </cell>
          <cell r="CO362">
            <v>59.1</v>
          </cell>
          <cell r="CP362">
            <v>53.2</v>
          </cell>
          <cell r="CQ362">
            <v>51.9</v>
          </cell>
          <cell r="CR362">
            <v>46.7</v>
          </cell>
          <cell r="CS362">
            <v>56.3</v>
          </cell>
          <cell r="CT362">
            <v>50.7</v>
          </cell>
          <cell r="CU362">
            <v>45.6</v>
          </cell>
          <cell r="CV362">
            <v>41</v>
          </cell>
          <cell r="CW362">
            <v>36.9</v>
          </cell>
          <cell r="CX362">
            <v>61.9</v>
          </cell>
          <cell r="CY362">
            <v>55.7</v>
          </cell>
          <cell r="CZ362">
            <v>57.8</v>
          </cell>
          <cell r="DA362">
            <v>52</v>
          </cell>
          <cell r="DB362">
            <v>61</v>
          </cell>
          <cell r="DC362">
            <v>54.9</v>
          </cell>
          <cell r="DD362">
            <v>49.4</v>
          </cell>
          <cell r="DE362">
            <v>44.5</v>
          </cell>
          <cell r="DF362">
            <v>40</v>
          </cell>
          <cell r="DG362">
            <v>1.3</v>
          </cell>
          <cell r="DH362">
            <v>1.4</v>
          </cell>
          <cell r="DI362">
            <v>3.2</v>
          </cell>
          <cell r="DJ362">
            <v>3.5</v>
          </cell>
          <cell r="DK362">
            <v>1.6</v>
          </cell>
          <cell r="DL362">
            <v>1.8</v>
          </cell>
          <cell r="DM362">
            <v>1.9</v>
          </cell>
          <cell r="DN362">
            <v>2.1</v>
          </cell>
          <cell r="DO362">
            <v>2.2999999999999998</v>
          </cell>
          <cell r="DP362">
            <v>2</v>
          </cell>
          <cell r="DQ362">
            <v>2.2000000000000002</v>
          </cell>
          <cell r="DR362">
            <v>4</v>
          </cell>
          <cell r="DS362">
            <v>4.4000000000000004</v>
          </cell>
          <cell r="DT362">
            <v>3.6</v>
          </cell>
          <cell r="DU362">
            <v>4</v>
          </cell>
          <cell r="DV362">
            <v>4.4000000000000004</v>
          </cell>
          <cell r="DW362">
            <v>4.8</v>
          </cell>
          <cell r="DX362">
            <v>5.3</v>
          </cell>
          <cell r="DY362">
            <v>0</v>
          </cell>
          <cell r="DZ362">
            <v>1</v>
          </cell>
          <cell r="EA362">
            <v>0.5</v>
          </cell>
          <cell r="EB362">
            <v>0.6</v>
          </cell>
          <cell r="EC362">
            <v>0.5</v>
          </cell>
          <cell r="ED362">
            <v>0.6</v>
          </cell>
          <cell r="EE362">
            <v>0.6</v>
          </cell>
          <cell r="EF362">
            <v>0.7</v>
          </cell>
          <cell r="EG362">
            <v>0.7</v>
          </cell>
        </row>
        <row r="363">
          <cell r="A363" t="str">
            <v>02810510Asian</v>
          </cell>
          <cell r="B363" t="str">
            <v>02810510A</v>
          </cell>
          <cell r="C363" t="str">
            <v>0281</v>
          </cell>
          <cell r="D363" t="str">
            <v>02810510</v>
          </cell>
          <cell r="E363" t="str">
            <v>Springfield</v>
          </cell>
          <cell r="F363" t="str">
            <v>High School Of Commerce</v>
          </cell>
          <cell r="G363" t="str">
            <v>HS</v>
          </cell>
          <cell r="H363" t="str">
            <v>Springfield - High School Of Commerce (02810510)</v>
          </cell>
          <cell r="I363" t="str">
            <v>Asian</v>
          </cell>
          <cell r="J363" t="str">
            <v>02810510Asian</v>
          </cell>
          <cell r="K363" t="str">
            <v>--</v>
          </cell>
          <cell r="L363" t="str">
            <v>--</v>
          </cell>
          <cell r="M363" t="str">
            <v>--</v>
          </cell>
          <cell r="N363" t="str">
            <v>--</v>
          </cell>
          <cell r="O363" t="str">
            <v>--</v>
          </cell>
          <cell r="P363" t="str">
            <v>--</v>
          </cell>
          <cell r="Q363" t="str">
            <v>--</v>
          </cell>
          <cell r="R363" t="str">
            <v>--</v>
          </cell>
          <cell r="S363" t="str">
            <v>--</v>
          </cell>
          <cell r="T363" t="str">
            <v>--</v>
          </cell>
          <cell r="U363" t="str">
            <v>--</v>
          </cell>
          <cell r="V363" t="str">
            <v>--</v>
          </cell>
          <cell r="W363" t="str">
            <v>--</v>
          </cell>
          <cell r="X363" t="str">
            <v>--</v>
          </cell>
          <cell r="Y363" t="str">
            <v>--</v>
          </cell>
          <cell r="Z363" t="str">
            <v>--</v>
          </cell>
          <cell r="AA363" t="str">
            <v>--</v>
          </cell>
          <cell r="AB363" t="str">
            <v>--</v>
          </cell>
          <cell r="AC363" t="str">
            <v>--</v>
          </cell>
          <cell r="AD363" t="str">
            <v>--</v>
          </cell>
          <cell r="AE363" t="str">
            <v>--</v>
          </cell>
          <cell r="AF363" t="str">
            <v>--</v>
          </cell>
          <cell r="AG363" t="str">
            <v>--</v>
          </cell>
          <cell r="AH363" t="str">
            <v>--</v>
          </cell>
          <cell r="AI363" t="str">
            <v>--</v>
          </cell>
          <cell r="AJ363" t="str">
            <v>--</v>
          </cell>
          <cell r="AK363" t="str">
            <v>--</v>
          </cell>
          <cell r="AL363" t="str">
            <v>--</v>
          </cell>
          <cell r="AM363" t="str">
            <v>--</v>
          </cell>
          <cell r="AN363" t="str">
            <v>--</v>
          </cell>
          <cell r="AO363" t="str">
            <v>--</v>
          </cell>
          <cell r="AP363" t="str">
            <v>--</v>
          </cell>
          <cell r="AQ363" t="str">
            <v>--</v>
          </cell>
          <cell r="AR363" t="str">
            <v>--</v>
          </cell>
          <cell r="AS363" t="str">
            <v>--</v>
          </cell>
          <cell r="AT363" t="str">
            <v>--</v>
          </cell>
          <cell r="AU363" t="str">
            <v>--</v>
          </cell>
          <cell r="AV363" t="str">
            <v>--</v>
          </cell>
          <cell r="AW363" t="str">
            <v>--</v>
          </cell>
          <cell r="AX363" t="str">
            <v>--</v>
          </cell>
          <cell r="AY363" t="str">
            <v>--</v>
          </cell>
          <cell r="AZ363" t="str">
            <v>--</v>
          </cell>
          <cell r="BA363" t="str">
            <v>--</v>
          </cell>
          <cell r="BB363" t="str">
            <v>--</v>
          </cell>
          <cell r="BC363" t="str">
            <v>--</v>
          </cell>
          <cell r="BD363" t="str">
            <v>--</v>
          </cell>
          <cell r="BE363">
            <v>5</v>
          </cell>
          <cell r="BF363">
            <v>4.5999999999999996</v>
          </cell>
          <cell r="BG363">
            <v>11.1</v>
          </cell>
          <cell r="BH363">
            <v>4.2</v>
          </cell>
          <cell r="BI363">
            <v>8.3000000000000007</v>
          </cell>
          <cell r="BJ363">
            <v>3.8</v>
          </cell>
          <cell r="BK363">
            <v>3.3</v>
          </cell>
          <cell r="BL363">
            <v>2.9</v>
          </cell>
          <cell r="BM363">
            <v>2.5</v>
          </cell>
          <cell r="BN363" t="str">
            <v>--</v>
          </cell>
          <cell r="BO363" t="str">
            <v>--</v>
          </cell>
          <cell r="BP363" t="str">
            <v>--</v>
          </cell>
          <cell r="BQ363" t="str">
            <v>--</v>
          </cell>
          <cell r="BR363" t="str">
            <v>--</v>
          </cell>
          <cell r="BS363" t="str">
            <v>--</v>
          </cell>
          <cell r="BT363" t="str">
            <v>--</v>
          </cell>
          <cell r="BU363" t="str">
            <v>--</v>
          </cell>
          <cell r="BV363" t="str">
            <v>--</v>
          </cell>
          <cell r="BW363" t="str">
            <v>--</v>
          </cell>
          <cell r="BX363" t="str">
            <v>--</v>
          </cell>
          <cell r="BY363" t="str">
            <v>--</v>
          </cell>
          <cell r="BZ363" t="str">
            <v>--</v>
          </cell>
          <cell r="CA363" t="str">
            <v>--</v>
          </cell>
          <cell r="CB363" t="str">
            <v>--</v>
          </cell>
          <cell r="CC363" t="str">
            <v>--</v>
          </cell>
          <cell r="CD363" t="str">
            <v>--</v>
          </cell>
          <cell r="CE363" t="str">
            <v>--</v>
          </cell>
          <cell r="CF363" t="str">
            <v>--</v>
          </cell>
          <cell r="CG363" t="str">
            <v>--</v>
          </cell>
          <cell r="CH363" t="str">
            <v>--</v>
          </cell>
          <cell r="CI363" t="str">
            <v>--</v>
          </cell>
          <cell r="CJ363" t="str">
            <v>--</v>
          </cell>
          <cell r="CK363" t="str">
            <v>--</v>
          </cell>
          <cell r="CL363" t="str">
            <v>--</v>
          </cell>
          <cell r="CM363" t="str">
            <v>--</v>
          </cell>
          <cell r="CN363" t="str">
            <v>--</v>
          </cell>
          <cell r="CO363" t="str">
            <v>--</v>
          </cell>
          <cell r="CP363" t="str">
            <v>--</v>
          </cell>
          <cell r="CQ363" t="str">
            <v>--</v>
          </cell>
          <cell r="CR363" t="str">
            <v>--</v>
          </cell>
          <cell r="CS363" t="str">
            <v>--</v>
          </cell>
          <cell r="CT363" t="str">
            <v>--</v>
          </cell>
          <cell r="CU363" t="str">
            <v>--</v>
          </cell>
          <cell r="CV363" t="str">
            <v>--</v>
          </cell>
          <cell r="CW363" t="str">
            <v>--</v>
          </cell>
          <cell r="CX363" t="str">
            <v>--</v>
          </cell>
          <cell r="CY363" t="str">
            <v>--</v>
          </cell>
          <cell r="CZ363" t="str">
            <v>--</v>
          </cell>
          <cell r="DA363" t="str">
            <v>--</v>
          </cell>
          <cell r="DB363" t="str">
            <v>--</v>
          </cell>
          <cell r="DC363" t="str">
            <v>--</v>
          </cell>
          <cell r="DD363" t="str">
            <v>--</v>
          </cell>
          <cell r="DE363" t="str">
            <v>--</v>
          </cell>
          <cell r="DF363" t="str">
            <v>--</v>
          </cell>
          <cell r="DG363" t="str">
            <v>--</v>
          </cell>
          <cell r="DH363" t="str">
            <v>--</v>
          </cell>
          <cell r="DI363" t="str">
            <v>--</v>
          </cell>
          <cell r="DJ363" t="str">
            <v>--</v>
          </cell>
          <cell r="DK363" t="str">
            <v>--</v>
          </cell>
          <cell r="DL363" t="str">
            <v>--</v>
          </cell>
          <cell r="DM363" t="str">
            <v>--</v>
          </cell>
          <cell r="DN363" t="str">
            <v>--</v>
          </cell>
          <cell r="DO363" t="str">
            <v>--</v>
          </cell>
          <cell r="DP363" t="str">
            <v>--</v>
          </cell>
          <cell r="DQ363" t="str">
            <v>--</v>
          </cell>
          <cell r="DR363" t="str">
            <v>--</v>
          </cell>
          <cell r="DS363" t="str">
            <v>--</v>
          </cell>
          <cell r="DT363" t="str">
            <v>--</v>
          </cell>
          <cell r="DU363" t="str">
            <v>--</v>
          </cell>
          <cell r="DV363" t="str">
            <v>--</v>
          </cell>
          <cell r="DW363" t="str">
            <v>--</v>
          </cell>
          <cell r="DX363" t="str">
            <v>--</v>
          </cell>
          <cell r="DY363" t="str">
            <v>--</v>
          </cell>
          <cell r="DZ363" t="str">
            <v>--</v>
          </cell>
          <cell r="EA363" t="str">
            <v>--</v>
          </cell>
          <cell r="EB363" t="str">
            <v>--</v>
          </cell>
          <cell r="EC363" t="str">
            <v>--</v>
          </cell>
          <cell r="ED363" t="str">
            <v>--</v>
          </cell>
          <cell r="EE363" t="str">
            <v>--</v>
          </cell>
          <cell r="EF363" t="str">
            <v>--</v>
          </cell>
          <cell r="EG363" t="str">
            <v>--</v>
          </cell>
        </row>
        <row r="364">
          <cell r="A364" t="str">
            <v>02810510Afr. Amer/Black</v>
          </cell>
          <cell r="B364" t="str">
            <v>02810510B</v>
          </cell>
          <cell r="C364" t="str">
            <v>0281</v>
          </cell>
          <cell r="D364" t="str">
            <v>02810510</v>
          </cell>
          <cell r="E364" t="str">
            <v>Springfield</v>
          </cell>
          <cell r="F364" t="str">
            <v>High School Of Commerce</v>
          </cell>
          <cell r="G364" t="str">
            <v>HS</v>
          </cell>
          <cell r="H364" t="str">
            <v>Springfield - High School Of Commerce (02810510)</v>
          </cell>
          <cell r="I364" t="str">
            <v>Afr. Amer/Black</v>
          </cell>
          <cell r="J364" t="str">
            <v>02810510Afr. Amer/Black</v>
          </cell>
          <cell r="K364" t="str">
            <v>--</v>
          </cell>
          <cell r="L364">
            <v>81.5</v>
          </cell>
          <cell r="M364">
            <v>83</v>
          </cell>
          <cell r="N364">
            <v>80.8</v>
          </cell>
          <cell r="O364">
            <v>84.6</v>
          </cell>
          <cell r="P364">
            <v>86.3</v>
          </cell>
          <cell r="Q364">
            <v>87.4</v>
          </cell>
          <cell r="R364">
            <v>89</v>
          </cell>
          <cell r="S364">
            <v>90.5</v>
          </cell>
          <cell r="T364">
            <v>92.1</v>
          </cell>
          <cell r="U364">
            <v>61.9</v>
          </cell>
          <cell r="V364">
            <v>65.099999999999994</v>
          </cell>
          <cell r="W364">
            <v>53.2</v>
          </cell>
          <cell r="X364">
            <v>68.3</v>
          </cell>
          <cell r="Y364">
            <v>59.1</v>
          </cell>
          <cell r="Z364">
            <v>72.7</v>
          </cell>
          <cell r="AA364">
            <v>75.900000000000006</v>
          </cell>
          <cell r="AB364">
            <v>79.099999999999994</v>
          </cell>
          <cell r="AC364">
            <v>82.3</v>
          </cell>
          <cell r="AD364">
            <v>56.7</v>
          </cell>
          <cell r="AE364">
            <v>60.3</v>
          </cell>
          <cell r="AF364">
            <v>48.3</v>
          </cell>
          <cell r="AG364">
            <v>63.9</v>
          </cell>
          <cell r="AH364">
            <v>53</v>
          </cell>
          <cell r="AI364">
            <v>68.8</v>
          </cell>
          <cell r="AJ364">
            <v>72.400000000000006</v>
          </cell>
          <cell r="AK364">
            <v>76</v>
          </cell>
          <cell r="AL364">
            <v>79.7</v>
          </cell>
          <cell r="AM364">
            <v>43.6</v>
          </cell>
          <cell r="AN364">
            <v>46.1</v>
          </cell>
          <cell r="AO364">
            <v>45.5</v>
          </cell>
          <cell r="AP364">
            <v>48</v>
          </cell>
          <cell r="AQ364">
            <v>47.7</v>
          </cell>
          <cell r="AR364">
            <v>50.2</v>
          </cell>
          <cell r="AS364">
            <v>52.7</v>
          </cell>
          <cell r="AT364">
            <v>55.2</v>
          </cell>
          <cell r="AU364">
            <v>57.7</v>
          </cell>
          <cell r="AV364">
            <v>53.4</v>
          </cell>
          <cell r="AW364">
            <v>55.9</v>
          </cell>
          <cell r="AX364">
            <v>45.5</v>
          </cell>
          <cell r="AY364">
            <v>48</v>
          </cell>
          <cell r="AZ364">
            <v>49.5</v>
          </cell>
          <cell r="BA364">
            <v>52</v>
          </cell>
          <cell r="BB364">
            <v>54.5</v>
          </cell>
          <cell r="BC364">
            <v>57</v>
          </cell>
          <cell r="BD364">
            <v>59.5</v>
          </cell>
          <cell r="BE364">
            <v>11.5</v>
          </cell>
          <cell r="BF364">
            <v>10.5</v>
          </cell>
          <cell r="BG364">
            <v>13.7</v>
          </cell>
          <cell r="BH364">
            <v>9.6</v>
          </cell>
          <cell r="BI364">
            <v>9</v>
          </cell>
          <cell r="BJ364">
            <v>5.6</v>
          </cell>
          <cell r="BK364">
            <v>4.7</v>
          </cell>
          <cell r="BL364">
            <v>3.7</v>
          </cell>
          <cell r="BM364">
            <v>2.8</v>
          </cell>
          <cell r="BN364">
            <v>34</v>
          </cell>
          <cell r="BO364">
            <v>44</v>
          </cell>
          <cell r="BP364" t="str">
            <v>--</v>
          </cell>
          <cell r="BQ364">
            <v>44</v>
          </cell>
          <cell r="BR364" t="str">
            <v>--</v>
          </cell>
          <cell r="BS364">
            <v>51</v>
          </cell>
          <cell r="BT364">
            <v>51</v>
          </cell>
          <cell r="BU364">
            <v>51</v>
          </cell>
          <cell r="BV364">
            <v>51</v>
          </cell>
          <cell r="BW364">
            <v>27</v>
          </cell>
          <cell r="BX364">
            <v>37</v>
          </cell>
          <cell r="BY364" t="str">
            <v>--</v>
          </cell>
          <cell r="BZ364">
            <v>37</v>
          </cell>
          <cell r="CA364" t="str">
            <v>--</v>
          </cell>
          <cell r="CB364">
            <v>51.5</v>
          </cell>
          <cell r="CC364">
            <v>60</v>
          </cell>
          <cell r="CD364">
            <v>60</v>
          </cell>
          <cell r="CE364">
            <v>60</v>
          </cell>
          <cell r="CF364">
            <v>4.3</v>
          </cell>
          <cell r="CG364">
            <v>3.9</v>
          </cell>
          <cell r="CH364">
            <v>7.7</v>
          </cell>
          <cell r="CI364">
            <v>6.9</v>
          </cell>
          <cell r="CJ364">
            <v>7.1</v>
          </cell>
          <cell r="CK364">
            <v>6.4</v>
          </cell>
          <cell r="CL364">
            <v>5.8</v>
          </cell>
          <cell r="CM364">
            <v>5.2</v>
          </cell>
          <cell r="CN364">
            <v>4.7</v>
          </cell>
          <cell r="CO364">
            <v>28.6</v>
          </cell>
          <cell r="CP364">
            <v>25.7</v>
          </cell>
          <cell r="CQ364">
            <v>44.4</v>
          </cell>
          <cell r="CR364">
            <v>40</v>
          </cell>
          <cell r="CS364">
            <v>31.7</v>
          </cell>
          <cell r="CT364">
            <v>28.5</v>
          </cell>
          <cell r="CU364">
            <v>25.7</v>
          </cell>
          <cell r="CV364">
            <v>23.1</v>
          </cell>
          <cell r="CW364">
            <v>20.8</v>
          </cell>
          <cell r="CX364">
            <v>26.8</v>
          </cell>
          <cell r="CY364">
            <v>24.1</v>
          </cell>
          <cell r="CZ364">
            <v>41.4</v>
          </cell>
          <cell r="DA364">
            <v>37.299999999999997</v>
          </cell>
          <cell r="DB364">
            <v>28</v>
          </cell>
          <cell r="DC364">
            <v>25.2</v>
          </cell>
          <cell r="DD364">
            <v>22.7</v>
          </cell>
          <cell r="DE364">
            <v>20.399999999999999</v>
          </cell>
          <cell r="DF364">
            <v>18.399999999999999</v>
          </cell>
          <cell r="DG364">
            <v>2.2000000000000002</v>
          </cell>
          <cell r="DH364">
            <v>2.4</v>
          </cell>
          <cell r="DI364">
            <v>5.8</v>
          </cell>
          <cell r="DJ364">
            <v>6.4</v>
          </cell>
          <cell r="DK364">
            <v>0</v>
          </cell>
          <cell r="DL364">
            <v>1</v>
          </cell>
          <cell r="DM364">
            <v>1.1000000000000001</v>
          </cell>
          <cell r="DN364">
            <v>1.2</v>
          </cell>
          <cell r="DO364">
            <v>1.3</v>
          </cell>
          <cell r="DP364">
            <v>9.5</v>
          </cell>
          <cell r="DQ364">
            <v>10.5</v>
          </cell>
          <cell r="DR364">
            <v>5.6</v>
          </cell>
          <cell r="DS364">
            <v>6.2</v>
          </cell>
          <cell r="DT364">
            <v>0</v>
          </cell>
          <cell r="DU364">
            <v>1</v>
          </cell>
          <cell r="DV364">
            <v>1.1000000000000001</v>
          </cell>
          <cell r="DW364">
            <v>1.2</v>
          </cell>
          <cell r="DX364">
            <v>1.3</v>
          </cell>
          <cell r="DY364">
            <v>2.4</v>
          </cell>
          <cell r="DZ364">
            <v>2.6</v>
          </cell>
          <cell r="EA364">
            <v>0</v>
          </cell>
          <cell r="EB364">
            <v>1</v>
          </cell>
          <cell r="EC364">
            <v>0</v>
          </cell>
          <cell r="ED364">
            <v>1</v>
          </cell>
          <cell r="EE364">
            <v>1.1000000000000001</v>
          </cell>
          <cell r="EF364">
            <v>1.2</v>
          </cell>
          <cell r="EG364">
            <v>1.3</v>
          </cell>
        </row>
        <row r="365">
          <cell r="A365" t="str">
            <v>02810510White</v>
          </cell>
          <cell r="B365" t="str">
            <v>02810510C</v>
          </cell>
          <cell r="C365" t="str">
            <v>0281</v>
          </cell>
          <cell r="D365" t="str">
            <v>02810510</v>
          </cell>
          <cell r="E365" t="str">
            <v>Springfield</v>
          </cell>
          <cell r="F365" t="str">
            <v>High School Of Commerce</v>
          </cell>
          <cell r="G365" t="str">
            <v>HS</v>
          </cell>
          <cell r="H365" t="str">
            <v>Springfield - High School Of Commerce (02810510)</v>
          </cell>
          <cell r="I365" t="str">
            <v>White</v>
          </cell>
          <cell r="J365" t="str">
            <v>02810510White</v>
          </cell>
          <cell r="K365" t="str">
            <v>--</v>
          </cell>
          <cell r="L365" t="str">
            <v>--</v>
          </cell>
          <cell r="M365" t="str">
            <v>--</v>
          </cell>
          <cell r="N365" t="str">
            <v>--</v>
          </cell>
          <cell r="O365" t="str">
            <v>--</v>
          </cell>
          <cell r="P365" t="str">
            <v>--</v>
          </cell>
          <cell r="Q365" t="str">
            <v>--</v>
          </cell>
          <cell r="R365" t="str">
            <v>--</v>
          </cell>
          <cell r="S365" t="str">
            <v>--</v>
          </cell>
          <cell r="T365" t="str">
            <v>--</v>
          </cell>
          <cell r="U365" t="str">
            <v>--</v>
          </cell>
          <cell r="V365" t="str">
            <v>--</v>
          </cell>
          <cell r="W365" t="str">
            <v>--</v>
          </cell>
          <cell r="X365" t="str">
            <v>--</v>
          </cell>
          <cell r="Y365" t="str">
            <v>--</v>
          </cell>
          <cell r="Z365" t="str">
            <v>--</v>
          </cell>
          <cell r="AA365" t="str">
            <v>--</v>
          </cell>
          <cell r="AB365" t="str">
            <v>--</v>
          </cell>
          <cell r="AC365" t="str">
            <v>--</v>
          </cell>
          <cell r="AD365" t="str">
            <v>--</v>
          </cell>
          <cell r="AE365" t="str">
            <v>--</v>
          </cell>
          <cell r="AF365" t="str">
            <v>--</v>
          </cell>
          <cell r="AG365" t="str">
            <v>--</v>
          </cell>
          <cell r="AH365" t="str">
            <v>--</v>
          </cell>
          <cell r="AI365" t="str">
            <v>--</v>
          </cell>
          <cell r="AJ365" t="str">
            <v>--</v>
          </cell>
          <cell r="AK365" t="str">
            <v>--</v>
          </cell>
          <cell r="AL365" t="str">
            <v>--</v>
          </cell>
          <cell r="AM365">
            <v>45.8</v>
          </cell>
          <cell r="AN365">
            <v>48.3</v>
          </cell>
          <cell r="AO365">
            <v>27.3</v>
          </cell>
          <cell r="AP365" t="str">
            <v>--</v>
          </cell>
          <cell r="AQ365">
            <v>33.299999999999997</v>
          </cell>
          <cell r="AR365" t="str">
            <v>--</v>
          </cell>
          <cell r="AS365" t="str">
            <v>--</v>
          </cell>
          <cell r="AT365" t="str">
            <v>--</v>
          </cell>
          <cell r="AU365" t="str">
            <v>--</v>
          </cell>
          <cell r="AV365">
            <v>45.8</v>
          </cell>
          <cell r="AW365">
            <v>48.3</v>
          </cell>
          <cell r="AX365">
            <v>31</v>
          </cell>
          <cell r="AY365">
            <v>48.3</v>
          </cell>
          <cell r="AZ365">
            <v>27.3</v>
          </cell>
          <cell r="BA365" t="str">
            <v>--</v>
          </cell>
          <cell r="BB365" t="str">
            <v>--</v>
          </cell>
          <cell r="BC365" t="str">
            <v>--</v>
          </cell>
          <cell r="BD365" t="str">
            <v>--</v>
          </cell>
          <cell r="BE365">
            <v>17.7</v>
          </cell>
          <cell r="BF365">
            <v>16.2</v>
          </cell>
          <cell r="BG365">
            <v>22.2</v>
          </cell>
          <cell r="BH365">
            <v>14.8</v>
          </cell>
          <cell r="BI365">
            <v>13.3</v>
          </cell>
          <cell r="BJ365">
            <v>13.3</v>
          </cell>
          <cell r="BK365">
            <v>11.8</v>
          </cell>
          <cell r="BL365">
            <v>10.3</v>
          </cell>
          <cell r="BM365">
            <v>8.9</v>
          </cell>
          <cell r="BN365" t="str">
            <v>--</v>
          </cell>
          <cell r="BO365" t="str">
            <v>--</v>
          </cell>
          <cell r="BP365" t="str">
            <v>--</v>
          </cell>
          <cell r="BQ365" t="str">
            <v>--</v>
          </cell>
          <cell r="BR365" t="str">
            <v>--</v>
          </cell>
          <cell r="BS365" t="str">
            <v>--</v>
          </cell>
          <cell r="BT365" t="str">
            <v>--</v>
          </cell>
          <cell r="BU365" t="str">
            <v>--</v>
          </cell>
          <cell r="BV365" t="str">
            <v>--</v>
          </cell>
          <cell r="BW365" t="str">
            <v>--</v>
          </cell>
          <cell r="BX365" t="str">
            <v>--</v>
          </cell>
          <cell r="BY365" t="str">
            <v>--</v>
          </cell>
          <cell r="BZ365" t="str">
            <v>--</v>
          </cell>
          <cell r="CA365" t="str">
            <v>--</v>
          </cell>
          <cell r="CB365" t="str">
            <v>--</v>
          </cell>
          <cell r="CC365" t="str">
            <v>--</v>
          </cell>
          <cell r="CD365" t="str">
            <v>--</v>
          </cell>
          <cell r="CE365" t="str">
            <v>--</v>
          </cell>
          <cell r="CF365" t="str">
            <v>--</v>
          </cell>
          <cell r="CG365" t="str">
            <v>--</v>
          </cell>
          <cell r="CH365" t="str">
            <v>--</v>
          </cell>
          <cell r="CI365" t="str">
            <v>--</v>
          </cell>
          <cell r="CJ365" t="str">
            <v>--</v>
          </cell>
          <cell r="CK365" t="str">
            <v>--</v>
          </cell>
          <cell r="CL365" t="str">
            <v>--</v>
          </cell>
          <cell r="CM365" t="str">
            <v>--</v>
          </cell>
          <cell r="CN365" t="str">
            <v>--</v>
          </cell>
          <cell r="CO365" t="str">
            <v>--</v>
          </cell>
          <cell r="CP365" t="str">
            <v>--</v>
          </cell>
          <cell r="CQ365" t="str">
            <v>--</v>
          </cell>
          <cell r="CR365" t="str">
            <v>--</v>
          </cell>
          <cell r="CS365" t="str">
            <v>--</v>
          </cell>
          <cell r="CT365" t="str">
            <v>--</v>
          </cell>
          <cell r="CU365" t="str">
            <v>--</v>
          </cell>
          <cell r="CV365" t="str">
            <v>--</v>
          </cell>
          <cell r="CW365" t="str">
            <v>--</v>
          </cell>
          <cell r="CX365" t="str">
            <v>--</v>
          </cell>
          <cell r="CY365" t="str">
            <v>--</v>
          </cell>
          <cell r="CZ365" t="str">
            <v>--</v>
          </cell>
          <cell r="DA365" t="str">
            <v>--</v>
          </cell>
          <cell r="DB365" t="str">
            <v>--</v>
          </cell>
          <cell r="DC365" t="str">
            <v>--</v>
          </cell>
          <cell r="DD365" t="str">
            <v>--</v>
          </cell>
          <cell r="DE365" t="str">
            <v>--</v>
          </cell>
          <cell r="DF365" t="str">
            <v>--</v>
          </cell>
          <cell r="DG365" t="str">
            <v>--</v>
          </cell>
          <cell r="DH365" t="str">
            <v>--</v>
          </cell>
          <cell r="DI365" t="str">
            <v>--</v>
          </cell>
          <cell r="DJ365" t="str">
            <v>--</v>
          </cell>
          <cell r="DK365" t="str">
            <v>--</v>
          </cell>
          <cell r="DL365" t="str">
            <v>--</v>
          </cell>
          <cell r="DM365" t="str">
            <v>--</v>
          </cell>
          <cell r="DN365" t="str">
            <v>--</v>
          </cell>
          <cell r="DO365" t="str">
            <v>--</v>
          </cell>
          <cell r="DP365" t="str">
            <v>--</v>
          </cell>
          <cell r="DQ365" t="str">
            <v>--</v>
          </cell>
          <cell r="DR365" t="str">
            <v>--</v>
          </cell>
          <cell r="DS365" t="str">
            <v>--</v>
          </cell>
          <cell r="DT365" t="str">
            <v>--</v>
          </cell>
          <cell r="DU365" t="str">
            <v>--</v>
          </cell>
          <cell r="DV365" t="str">
            <v>--</v>
          </cell>
          <cell r="DW365" t="str">
            <v>--</v>
          </cell>
          <cell r="DX365" t="str">
            <v>--</v>
          </cell>
          <cell r="DY365" t="str">
            <v>--</v>
          </cell>
          <cell r="DZ365" t="str">
            <v>--</v>
          </cell>
          <cell r="EA365" t="str">
            <v>--</v>
          </cell>
          <cell r="EB365" t="str">
            <v>--</v>
          </cell>
          <cell r="EC365" t="str">
            <v>--</v>
          </cell>
          <cell r="ED365" t="str">
            <v>--</v>
          </cell>
          <cell r="EE365" t="str">
            <v>--</v>
          </cell>
          <cell r="EF365" t="str">
            <v>--</v>
          </cell>
          <cell r="EG365" t="str">
            <v>--</v>
          </cell>
        </row>
        <row r="366">
          <cell r="A366" t="str">
            <v>02810510Students w/disabilities</v>
          </cell>
          <cell r="B366" t="str">
            <v>02810510D</v>
          </cell>
          <cell r="C366" t="str">
            <v>0281</v>
          </cell>
          <cell r="D366" t="str">
            <v>02810510</v>
          </cell>
          <cell r="E366" t="str">
            <v>Springfield</v>
          </cell>
          <cell r="F366" t="str">
            <v>High School Of Commerce</v>
          </cell>
          <cell r="G366" t="str">
            <v>HS</v>
          </cell>
          <cell r="H366" t="str">
            <v>Springfield - High School Of Commerce (02810510)</v>
          </cell>
          <cell r="I366" t="str">
            <v>Students w/disabilities</v>
          </cell>
          <cell r="J366" t="str">
            <v>02810510Students w/disabilities</v>
          </cell>
          <cell r="K366" t="str">
            <v>--</v>
          </cell>
          <cell r="L366">
            <v>73.099999999999994</v>
          </cell>
          <cell r="M366">
            <v>75.3</v>
          </cell>
          <cell r="N366">
            <v>62.8</v>
          </cell>
          <cell r="O366">
            <v>77.599999999999994</v>
          </cell>
          <cell r="P366">
            <v>76.599999999999994</v>
          </cell>
          <cell r="Q366">
            <v>79.8</v>
          </cell>
          <cell r="R366">
            <v>82.1</v>
          </cell>
          <cell r="S366">
            <v>84.3</v>
          </cell>
          <cell r="T366">
            <v>86.6</v>
          </cell>
          <cell r="U366">
            <v>54.1</v>
          </cell>
          <cell r="V366">
            <v>57.9</v>
          </cell>
          <cell r="W366">
            <v>35</v>
          </cell>
          <cell r="X366">
            <v>61.8</v>
          </cell>
          <cell r="Y366">
            <v>44.8</v>
          </cell>
          <cell r="Z366">
            <v>65.599999999999994</v>
          </cell>
          <cell r="AA366">
            <v>69.400000000000006</v>
          </cell>
          <cell r="AB366">
            <v>73.2</v>
          </cell>
          <cell r="AC366">
            <v>77.099999999999994</v>
          </cell>
          <cell r="AD366">
            <v>47.9</v>
          </cell>
          <cell r="AE366">
            <v>52.2</v>
          </cell>
          <cell r="AF366">
            <v>35.5</v>
          </cell>
          <cell r="AG366">
            <v>56.6</v>
          </cell>
          <cell r="AH366">
            <v>49</v>
          </cell>
          <cell r="AI366">
            <v>60.9</v>
          </cell>
          <cell r="AJ366">
            <v>65.3</v>
          </cell>
          <cell r="AK366">
            <v>69.599999999999994</v>
          </cell>
          <cell r="AL366">
            <v>74</v>
          </cell>
          <cell r="AM366">
            <v>23.5</v>
          </cell>
          <cell r="AN366">
            <v>26</v>
          </cell>
          <cell r="AO366">
            <v>10.8</v>
          </cell>
          <cell r="AP366">
            <v>13.3</v>
          </cell>
          <cell r="AQ366">
            <v>17.899999999999999</v>
          </cell>
          <cell r="AR366">
            <v>20.399999999999999</v>
          </cell>
          <cell r="AS366">
            <v>22.9</v>
          </cell>
          <cell r="AT366">
            <v>25.4</v>
          </cell>
          <cell r="AU366">
            <v>27.9</v>
          </cell>
          <cell r="AV366">
            <v>28.1</v>
          </cell>
          <cell r="AW366">
            <v>30.6</v>
          </cell>
          <cell r="AX366">
            <v>25.5</v>
          </cell>
          <cell r="AY366">
            <v>28</v>
          </cell>
          <cell r="AZ366">
            <v>14</v>
          </cell>
          <cell r="BA366">
            <v>16.5</v>
          </cell>
          <cell r="BB366">
            <v>19</v>
          </cell>
          <cell r="BC366">
            <v>21.5</v>
          </cell>
          <cell r="BD366">
            <v>24</v>
          </cell>
          <cell r="BE366">
            <v>18.399999999999999</v>
          </cell>
          <cell r="BF366">
            <v>16.899999999999999</v>
          </cell>
          <cell r="BG366">
            <v>23.5</v>
          </cell>
          <cell r="BH366">
            <v>15.3</v>
          </cell>
          <cell r="BI366">
            <v>16.8</v>
          </cell>
          <cell r="BJ366">
            <v>13.8</v>
          </cell>
          <cell r="BK366">
            <v>12.3</v>
          </cell>
          <cell r="BL366">
            <v>10.7</v>
          </cell>
          <cell r="BM366">
            <v>9.1999999999999993</v>
          </cell>
          <cell r="BN366" t="str">
            <v>--</v>
          </cell>
          <cell r="BO366" t="str">
            <v>--</v>
          </cell>
          <cell r="BP366" t="str">
            <v>--</v>
          </cell>
          <cell r="BQ366" t="str">
            <v>--</v>
          </cell>
          <cell r="BR366" t="str">
            <v>--</v>
          </cell>
          <cell r="BS366" t="str">
            <v>--</v>
          </cell>
          <cell r="BT366" t="str">
            <v>--</v>
          </cell>
          <cell r="BU366" t="str">
            <v>--</v>
          </cell>
          <cell r="BV366" t="str">
            <v>--</v>
          </cell>
          <cell r="BW366" t="str">
            <v>--</v>
          </cell>
          <cell r="BX366" t="str">
            <v>--</v>
          </cell>
          <cell r="BY366" t="str">
            <v>--</v>
          </cell>
          <cell r="BZ366" t="str">
            <v>--</v>
          </cell>
          <cell r="CA366" t="str">
            <v>--</v>
          </cell>
          <cell r="CB366" t="str">
            <v>--</v>
          </cell>
          <cell r="CC366" t="str">
            <v>--</v>
          </cell>
          <cell r="CD366" t="str">
            <v>--</v>
          </cell>
          <cell r="CE366" t="str">
            <v>--</v>
          </cell>
          <cell r="CF366">
            <v>10.3</v>
          </cell>
          <cell r="CG366">
            <v>9.3000000000000007</v>
          </cell>
          <cell r="CH366">
            <v>20.9</v>
          </cell>
          <cell r="CI366">
            <v>18.8</v>
          </cell>
          <cell r="CJ366">
            <v>9.6999999999999993</v>
          </cell>
          <cell r="CK366">
            <v>8.6999999999999993</v>
          </cell>
          <cell r="CL366">
            <v>7.9</v>
          </cell>
          <cell r="CM366">
            <v>7.1</v>
          </cell>
          <cell r="CN366">
            <v>6.4</v>
          </cell>
          <cell r="CO366">
            <v>40.5</v>
          </cell>
          <cell r="CP366">
            <v>36.5</v>
          </cell>
          <cell r="CQ366">
            <v>71.099999999999994</v>
          </cell>
          <cell r="CR366">
            <v>64</v>
          </cell>
          <cell r="CS366">
            <v>58.6</v>
          </cell>
          <cell r="CT366">
            <v>52.7</v>
          </cell>
          <cell r="CU366">
            <v>47.5</v>
          </cell>
          <cell r="CV366">
            <v>42.7</v>
          </cell>
          <cell r="CW366">
            <v>38.4</v>
          </cell>
          <cell r="CX366">
            <v>50</v>
          </cell>
          <cell r="CY366">
            <v>45</v>
          </cell>
          <cell r="CZ366">
            <v>63.2</v>
          </cell>
          <cell r="DA366">
            <v>56.9</v>
          </cell>
          <cell r="DB366">
            <v>48</v>
          </cell>
          <cell r="DC366">
            <v>43.2</v>
          </cell>
          <cell r="DD366">
            <v>38.9</v>
          </cell>
          <cell r="DE366">
            <v>35</v>
          </cell>
          <cell r="DF366">
            <v>31.5</v>
          </cell>
          <cell r="DG366">
            <v>0</v>
          </cell>
          <cell r="DH366">
            <v>1</v>
          </cell>
          <cell r="DI366">
            <v>0</v>
          </cell>
          <cell r="DJ366">
            <v>1</v>
          </cell>
          <cell r="DK366">
            <v>0</v>
          </cell>
          <cell r="DL366">
            <v>1</v>
          </cell>
          <cell r="DM366">
            <v>1.1000000000000001</v>
          </cell>
          <cell r="DN366">
            <v>1.2</v>
          </cell>
          <cell r="DO366">
            <v>1.3</v>
          </cell>
          <cell r="DP366">
            <v>0</v>
          </cell>
          <cell r="DQ366">
            <v>1</v>
          </cell>
          <cell r="DR366">
            <v>0</v>
          </cell>
          <cell r="DS366">
            <v>1</v>
          </cell>
          <cell r="DT366">
            <v>0</v>
          </cell>
          <cell r="DU366">
            <v>1</v>
          </cell>
          <cell r="DV366">
            <v>1.1000000000000001</v>
          </cell>
          <cell r="DW366">
            <v>1.2</v>
          </cell>
          <cell r="DX366">
            <v>1.3</v>
          </cell>
          <cell r="DY366">
            <v>0</v>
          </cell>
          <cell r="DZ366">
            <v>1</v>
          </cell>
          <cell r="EA366">
            <v>0</v>
          </cell>
          <cell r="EB366">
            <v>1</v>
          </cell>
          <cell r="EC366">
            <v>0</v>
          </cell>
          <cell r="ED366">
            <v>1</v>
          </cell>
          <cell r="EE366">
            <v>1.1000000000000001</v>
          </cell>
          <cell r="EF366">
            <v>1.2</v>
          </cell>
          <cell r="EG366">
            <v>1.3</v>
          </cell>
        </row>
        <row r="367">
          <cell r="A367" t="str">
            <v>02810510Low income</v>
          </cell>
          <cell r="B367" t="str">
            <v>02810510F</v>
          </cell>
          <cell r="C367" t="str">
            <v>0281</v>
          </cell>
          <cell r="D367" t="str">
            <v>02810510</v>
          </cell>
          <cell r="E367" t="str">
            <v>Springfield</v>
          </cell>
          <cell r="F367" t="str">
            <v>High School Of Commerce</v>
          </cell>
          <cell r="G367" t="str">
            <v>HS</v>
          </cell>
          <cell r="H367" t="str">
            <v>Springfield - High School Of Commerce (02810510)</v>
          </cell>
          <cell r="I367" t="str">
            <v>Low income</v>
          </cell>
          <cell r="J367" t="str">
            <v>02810510Low income</v>
          </cell>
          <cell r="K367" t="str">
            <v>--</v>
          </cell>
          <cell r="L367">
            <v>78.8</v>
          </cell>
          <cell r="M367">
            <v>80.599999999999994</v>
          </cell>
          <cell r="N367">
            <v>78.2</v>
          </cell>
          <cell r="O367">
            <v>82.3</v>
          </cell>
          <cell r="P367">
            <v>87.7</v>
          </cell>
          <cell r="Q367">
            <v>85.4</v>
          </cell>
          <cell r="R367">
            <v>87.2</v>
          </cell>
          <cell r="S367">
            <v>88.9</v>
          </cell>
          <cell r="T367">
            <v>90.7</v>
          </cell>
          <cell r="U367">
            <v>60</v>
          </cell>
          <cell r="V367">
            <v>63.3</v>
          </cell>
          <cell r="W367">
            <v>51.8</v>
          </cell>
          <cell r="X367">
            <v>66.7</v>
          </cell>
          <cell r="Y367">
            <v>59.2</v>
          </cell>
          <cell r="Z367">
            <v>71.3</v>
          </cell>
          <cell r="AA367">
            <v>74.599999999999994</v>
          </cell>
          <cell r="AB367">
            <v>78</v>
          </cell>
          <cell r="AC367">
            <v>81.3</v>
          </cell>
          <cell r="AD367">
            <v>53.6</v>
          </cell>
          <cell r="AE367">
            <v>57.5</v>
          </cell>
          <cell r="AF367">
            <v>46.4</v>
          </cell>
          <cell r="AG367">
            <v>61.3</v>
          </cell>
          <cell r="AH367">
            <v>50.9</v>
          </cell>
          <cell r="AI367">
            <v>66.5</v>
          </cell>
          <cell r="AJ367">
            <v>70.400000000000006</v>
          </cell>
          <cell r="AK367">
            <v>74.2</v>
          </cell>
          <cell r="AL367">
            <v>78.099999999999994</v>
          </cell>
          <cell r="AM367">
            <v>35.799999999999997</v>
          </cell>
          <cell r="AN367">
            <v>38.299999999999997</v>
          </cell>
          <cell r="AO367">
            <v>30.6</v>
          </cell>
          <cell r="AP367">
            <v>33.1</v>
          </cell>
          <cell r="AQ367">
            <v>36.6</v>
          </cell>
          <cell r="AR367">
            <v>39.1</v>
          </cell>
          <cell r="AS367">
            <v>41.6</v>
          </cell>
          <cell r="AT367">
            <v>44.1</v>
          </cell>
          <cell r="AU367">
            <v>46.6</v>
          </cell>
          <cell r="AV367">
            <v>44.2</v>
          </cell>
          <cell r="AW367">
            <v>46.7</v>
          </cell>
          <cell r="AX367">
            <v>38.6</v>
          </cell>
          <cell r="AY367">
            <v>41.1</v>
          </cell>
          <cell r="AZ367">
            <v>36.1</v>
          </cell>
          <cell r="BA367">
            <v>38.6</v>
          </cell>
          <cell r="BB367">
            <v>41.1</v>
          </cell>
          <cell r="BC367">
            <v>43.6</v>
          </cell>
          <cell r="BD367">
            <v>46.1</v>
          </cell>
          <cell r="BE367">
            <v>12.3</v>
          </cell>
          <cell r="BF367">
            <v>11.3</v>
          </cell>
          <cell r="BG367">
            <v>15</v>
          </cell>
          <cell r="BH367">
            <v>10.3</v>
          </cell>
          <cell r="BI367">
            <v>10.3</v>
          </cell>
          <cell r="BJ367">
            <v>6.2</v>
          </cell>
          <cell r="BK367">
            <v>5.2</v>
          </cell>
          <cell r="BL367">
            <v>4.2</v>
          </cell>
          <cell r="BM367">
            <v>3.2</v>
          </cell>
          <cell r="BN367">
            <v>35.5</v>
          </cell>
          <cell r="BO367">
            <v>45.5</v>
          </cell>
          <cell r="BP367">
            <v>30</v>
          </cell>
          <cell r="BQ367">
            <v>40</v>
          </cell>
          <cell r="BR367">
            <v>61</v>
          </cell>
          <cell r="BS367">
            <v>60</v>
          </cell>
          <cell r="BT367">
            <v>60</v>
          </cell>
          <cell r="BU367">
            <v>60</v>
          </cell>
          <cell r="BV367">
            <v>60</v>
          </cell>
          <cell r="BW367">
            <v>30</v>
          </cell>
          <cell r="BX367">
            <v>40</v>
          </cell>
          <cell r="BY367">
            <v>21</v>
          </cell>
          <cell r="BZ367">
            <v>31</v>
          </cell>
          <cell r="CA367">
            <v>27</v>
          </cell>
          <cell r="CB367">
            <v>41.5</v>
          </cell>
          <cell r="CC367">
            <v>56</v>
          </cell>
          <cell r="CD367">
            <v>60</v>
          </cell>
          <cell r="CE367">
            <v>60</v>
          </cell>
          <cell r="CF367">
            <v>7.3</v>
          </cell>
          <cell r="CG367">
            <v>6.6</v>
          </cell>
          <cell r="CH367">
            <v>8.3000000000000007</v>
          </cell>
          <cell r="CI367">
            <v>7.5</v>
          </cell>
          <cell r="CJ367">
            <v>3.7</v>
          </cell>
          <cell r="CK367">
            <v>3.3</v>
          </cell>
          <cell r="CL367">
            <v>3</v>
          </cell>
          <cell r="CM367">
            <v>2.7</v>
          </cell>
          <cell r="CN367">
            <v>2.4</v>
          </cell>
          <cell r="CO367">
            <v>33.299999999999997</v>
          </cell>
          <cell r="CP367">
            <v>30</v>
          </cell>
          <cell r="CQ367">
            <v>45</v>
          </cell>
          <cell r="CR367">
            <v>40.5</v>
          </cell>
          <cell r="CS367">
            <v>33.5</v>
          </cell>
          <cell r="CT367">
            <v>30.2</v>
          </cell>
          <cell r="CU367">
            <v>27.1</v>
          </cell>
          <cell r="CV367">
            <v>24.4</v>
          </cell>
          <cell r="CW367">
            <v>22</v>
          </cell>
          <cell r="CX367">
            <v>33.1</v>
          </cell>
          <cell r="CY367">
            <v>29.8</v>
          </cell>
          <cell r="CZ367">
            <v>43.9</v>
          </cell>
          <cell r="DA367">
            <v>39.5</v>
          </cell>
          <cell r="DB367">
            <v>34</v>
          </cell>
          <cell r="DC367">
            <v>30.6</v>
          </cell>
          <cell r="DD367">
            <v>27.5</v>
          </cell>
          <cell r="DE367">
            <v>24.8</v>
          </cell>
          <cell r="DF367">
            <v>22.3</v>
          </cell>
          <cell r="DG367">
            <v>4</v>
          </cell>
          <cell r="DH367">
            <v>4.4000000000000004</v>
          </cell>
          <cell r="DI367">
            <v>5</v>
          </cell>
          <cell r="DJ367">
            <v>5.5</v>
          </cell>
          <cell r="DK367">
            <v>6.7</v>
          </cell>
          <cell r="DL367">
            <v>7.4</v>
          </cell>
          <cell r="DM367">
            <v>8.1</v>
          </cell>
          <cell r="DN367">
            <v>8.9</v>
          </cell>
          <cell r="DO367">
            <v>9.8000000000000007</v>
          </cell>
          <cell r="DP367">
            <v>6.5</v>
          </cell>
          <cell r="DQ367">
            <v>7.2</v>
          </cell>
          <cell r="DR367">
            <v>5.6</v>
          </cell>
          <cell r="DS367">
            <v>6.2</v>
          </cell>
          <cell r="DT367">
            <v>5.6</v>
          </cell>
          <cell r="DU367">
            <v>6.2</v>
          </cell>
          <cell r="DV367">
            <v>6.8</v>
          </cell>
          <cell r="DW367">
            <v>7.5</v>
          </cell>
          <cell r="DX367">
            <v>8.1999999999999993</v>
          </cell>
          <cell r="DY367">
            <v>0</v>
          </cell>
          <cell r="DZ367">
            <v>1</v>
          </cell>
          <cell r="EA367">
            <v>0</v>
          </cell>
          <cell r="EB367">
            <v>1</v>
          </cell>
          <cell r="EC367">
            <v>0.9</v>
          </cell>
          <cell r="ED367">
            <v>1</v>
          </cell>
          <cell r="EE367">
            <v>1.1000000000000001</v>
          </cell>
          <cell r="EF367">
            <v>1.2</v>
          </cell>
          <cell r="EG367">
            <v>1.3</v>
          </cell>
        </row>
        <row r="368">
          <cell r="A368" t="str">
            <v>02810510Hispanic/Latino</v>
          </cell>
          <cell r="B368" t="str">
            <v>02810510H</v>
          </cell>
          <cell r="C368" t="str">
            <v>0281</v>
          </cell>
          <cell r="D368" t="str">
            <v>02810510</v>
          </cell>
          <cell r="E368" t="str">
            <v>Springfield</v>
          </cell>
          <cell r="F368" t="str">
            <v>High School Of Commerce</v>
          </cell>
          <cell r="G368" t="str">
            <v>HS</v>
          </cell>
          <cell r="H368" t="str">
            <v>Springfield - High School Of Commerce (02810510)</v>
          </cell>
          <cell r="I368" t="str">
            <v>Hispanic/Latino</v>
          </cell>
          <cell r="J368" t="str">
            <v>02810510Hispanic/Latino</v>
          </cell>
          <cell r="K368" t="str">
            <v>--</v>
          </cell>
          <cell r="L368">
            <v>79.5</v>
          </cell>
          <cell r="M368">
            <v>81.2</v>
          </cell>
          <cell r="N368">
            <v>76.8</v>
          </cell>
          <cell r="O368">
            <v>82.9</v>
          </cell>
          <cell r="P368">
            <v>87.5</v>
          </cell>
          <cell r="Q368">
            <v>85.9</v>
          </cell>
          <cell r="R368">
            <v>87.6</v>
          </cell>
          <cell r="S368">
            <v>89.3</v>
          </cell>
          <cell r="T368">
            <v>91.1</v>
          </cell>
          <cell r="U368">
            <v>59.8</v>
          </cell>
          <cell r="V368">
            <v>63.2</v>
          </cell>
          <cell r="W368">
            <v>48.8</v>
          </cell>
          <cell r="X368">
            <v>66.5</v>
          </cell>
          <cell r="Y368">
            <v>57.1</v>
          </cell>
          <cell r="Z368">
            <v>71.2</v>
          </cell>
          <cell r="AA368">
            <v>74.5</v>
          </cell>
          <cell r="AB368">
            <v>77.900000000000006</v>
          </cell>
          <cell r="AC368">
            <v>81.2</v>
          </cell>
          <cell r="AD368">
            <v>51.9</v>
          </cell>
          <cell r="AE368">
            <v>55.9</v>
          </cell>
          <cell r="AF368">
            <v>46.4</v>
          </cell>
          <cell r="AG368">
            <v>59.9</v>
          </cell>
          <cell r="AH368">
            <v>50.6</v>
          </cell>
          <cell r="AI368">
            <v>65.2</v>
          </cell>
          <cell r="AJ368">
            <v>69.2</v>
          </cell>
          <cell r="AK368">
            <v>73.2</v>
          </cell>
          <cell r="AL368">
            <v>77.3</v>
          </cell>
          <cell r="AM368">
            <v>31.5</v>
          </cell>
          <cell r="AN368">
            <v>34</v>
          </cell>
          <cell r="AO368">
            <v>21</v>
          </cell>
          <cell r="AP368">
            <v>23.5</v>
          </cell>
          <cell r="AQ368">
            <v>28.3</v>
          </cell>
          <cell r="AR368">
            <v>30.8</v>
          </cell>
          <cell r="AS368">
            <v>33.299999999999997</v>
          </cell>
          <cell r="AT368">
            <v>35.799999999999997</v>
          </cell>
          <cell r="AU368">
            <v>38.299999999999997</v>
          </cell>
          <cell r="AV368">
            <v>35.299999999999997</v>
          </cell>
          <cell r="AW368">
            <v>37.799999999999997</v>
          </cell>
          <cell r="AX368">
            <v>34.299999999999997</v>
          </cell>
          <cell r="AY368">
            <v>36.799999999999997</v>
          </cell>
          <cell r="AZ368">
            <v>27.4</v>
          </cell>
          <cell r="BA368">
            <v>29.9</v>
          </cell>
          <cell r="BB368">
            <v>32.4</v>
          </cell>
          <cell r="BC368">
            <v>34.9</v>
          </cell>
          <cell r="BD368">
            <v>37.4</v>
          </cell>
          <cell r="BE368">
            <v>17.2</v>
          </cell>
          <cell r="BF368">
            <v>15.8</v>
          </cell>
          <cell r="BG368">
            <v>19.8</v>
          </cell>
          <cell r="BH368">
            <v>14.3</v>
          </cell>
          <cell r="BI368">
            <v>15.4</v>
          </cell>
          <cell r="BJ368">
            <v>9.9</v>
          </cell>
          <cell r="BK368">
            <v>8.5</v>
          </cell>
          <cell r="BL368">
            <v>7</v>
          </cell>
          <cell r="BM368">
            <v>5.6</v>
          </cell>
          <cell r="BN368">
            <v>38.5</v>
          </cell>
          <cell r="BO368">
            <v>48.5</v>
          </cell>
          <cell r="BP368">
            <v>33</v>
          </cell>
          <cell r="BQ368">
            <v>43</v>
          </cell>
          <cell r="BR368">
            <v>58.5</v>
          </cell>
          <cell r="BS368">
            <v>60</v>
          </cell>
          <cell r="BT368">
            <v>60</v>
          </cell>
          <cell r="BU368">
            <v>60</v>
          </cell>
          <cell r="BV368">
            <v>60</v>
          </cell>
          <cell r="BW368">
            <v>31.5</v>
          </cell>
          <cell r="BX368">
            <v>41.5</v>
          </cell>
          <cell r="BY368">
            <v>19</v>
          </cell>
          <cell r="BZ368">
            <v>29</v>
          </cell>
          <cell r="CA368">
            <v>22</v>
          </cell>
          <cell r="CB368">
            <v>36.5</v>
          </cell>
          <cell r="CC368">
            <v>51</v>
          </cell>
          <cell r="CD368">
            <v>60</v>
          </cell>
          <cell r="CE368">
            <v>60</v>
          </cell>
          <cell r="CF368">
            <v>8.3000000000000007</v>
          </cell>
          <cell r="CG368">
            <v>7.5</v>
          </cell>
          <cell r="CH368">
            <v>7.9</v>
          </cell>
          <cell r="CI368">
            <v>7.1</v>
          </cell>
          <cell r="CJ368">
            <v>3.7</v>
          </cell>
          <cell r="CK368">
            <v>3.3</v>
          </cell>
          <cell r="CL368">
            <v>3</v>
          </cell>
          <cell r="CM368">
            <v>2.7</v>
          </cell>
          <cell r="CN368">
            <v>2.4</v>
          </cell>
          <cell r="CO368">
            <v>34.5</v>
          </cell>
          <cell r="CP368">
            <v>31.1</v>
          </cell>
          <cell r="CQ368">
            <v>48.8</v>
          </cell>
          <cell r="CR368">
            <v>43.9</v>
          </cell>
          <cell r="CS368">
            <v>37.6</v>
          </cell>
          <cell r="CT368">
            <v>33.799999999999997</v>
          </cell>
          <cell r="CU368">
            <v>30.5</v>
          </cell>
          <cell r="CV368">
            <v>27.4</v>
          </cell>
          <cell r="CW368">
            <v>24.7</v>
          </cell>
          <cell r="CX368">
            <v>38</v>
          </cell>
          <cell r="CY368">
            <v>34.200000000000003</v>
          </cell>
          <cell r="CZ368">
            <v>43.6</v>
          </cell>
          <cell r="DA368">
            <v>39.200000000000003</v>
          </cell>
          <cell r="DB368">
            <v>36.700000000000003</v>
          </cell>
          <cell r="DC368">
            <v>33</v>
          </cell>
          <cell r="DD368">
            <v>29.7</v>
          </cell>
          <cell r="DE368">
            <v>26.8</v>
          </cell>
          <cell r="DF368">
            <v>24.1</v>
          </cell>
          <cell r="DG368">
            <v>4.8</v>
          </cell>
          <cell r="DH368">
            <v>5.3</v>
          </cell>
          <cell r="DI368">
            <v>3.2</v>
          </cell>
          <cell r="DJ368">
            <v>3.5</v>
          </cell>
          <cell r="DK368">
            <v>8.3000000000000007</v>
          </cell>
          <cell r="DL368">
            <v>9.1</v>
          </cell>
          <cell r="DM368">
            <v>10</v>
          </cell>
          <cell r="DN368">
            <v>11</v>
          </cell>
          <cell r="DO368">
            <v>12.2</v>
          </cell>
          <cell r="DP368">
            <v>6.9</v>
          </cell>
          <cell r="DQ368">
            <v>7.6</v>
          </cell>
          <cell r="DR368">
            <v>4</v>
          </cell>
          <cell r="DS368">
            <v>4.4000000000000004</v>
          </cell>
          <cell r="DT368">
            <v>7.3</v>
          </cell>
          <cell r="DU368">
            <v>8</v>
          </cell>
          <cell r="DV368">
            <v>8.8000000000000007</v>
          </cell>
          <cell r="DW368">
            <v>9.6999999999999993</v>
          </cell>
          <cell r="DX368">
            <v>10.7</v>
          </cell>
          <cell r="DY368">
            <v>1.3</v>
          </cell>
          <cell r="DZ368">
            <v>1.4</v>
          </cell>
          <cell r="EA368">
            <v>0</v>
          </cell>
          <cell r="EB368">
            <v>1</v>
          </cell>
          <cell r="EC368">
            <v>1.3</v>
          </cell>
          <cell r="ED368">
            <v>1.4</v>
          </cell>
          <cell r="EE368">
            <v>1.6</v>
          </cell>
          <cell r="EF368">
            <v>1.7</v>
          </cell>
          <cell r="EG368">
            <v>1.9</v>
          </cell>
        </row>
        <row r="369">
          <cell r="A369" t="str">
            <v>02810510ELL and Former ELL</v>
          </cell>
          <cell r="B369" t="str">
            <v>02810510L</v>
          </cell>
          <cell r="C369" t="str">
            <v>0281</v>
          </cell>
          <cell r="D369" t="str">
            <v>02810510</v>
          </cell>
          <cell r="E369" t="str">
            <v>Springfield</v>
          </cell>
          <cell r="F369" t="str">
            <v>High School Of Commerce</v>
          </cell>
          <cell r="G369" t="str">
            <v>HS</v>
          </cell>
          <cell r="H369" t="str">
            <v>Springfield - High School Of Commerce (02810510)</v>
          </cell>
          <cell r="I369" t="str">
            <v>ELL and Former ELL</v>
          </cell>
          <cell r="J369" t="str">
            <v>02810510ELL and Former ELL</v>
          </cell>
          <cell r="K369" t="str">
            <v>--</v>
          </cell>
          <cell r="L369">
            <v>61.8</v>
          </cell>
          <cell r="M369">
            <v>65</v>
          </cell>
          <cell r="N369">
            <v>55.6</v>
          </cell>
          <cell r="O369">
            <v>68.2</v>
          </cell>
          <cell r="P369">
            <v>69.8</v>
          </cell>
          <cell r="Q369">
            <v>72.7</v>
          </cell>
          <cell r="R369">
            <v>75.8</v>
          </cell>
          <cell r="S369">
            <v>79</v>
          </cell>
          <cell r="T369">
            <v>82.2</v>
          </cell>
          <cell r="U369">
            <v>54.8</v>
          </cell>
          <cell r="V369">
            <v>58.6</v>
          </cell>
          <cell r="W369">
            <v>34</v>
          </cell>
          <cell r="X369">
            <v>62.3</v>
          </cell>
          <cell r="Y369">
            <v>35.799999999999997</v>
          </cell>
          <cell r="Z369">
            <v>67.400000000000006</v>
          </cell>
          <cell r="AA369">
            <v>71.2</v>
          </cell>
          <cell r="AB369">
            <v>74.900000000000006</v>
          </cell>
          <cell r="AC369">
            <v>78.7</v>
          </cell>
          <cell r="AD369">
            <v>49.2</v>
          </cell>
          <cell r="AE369">
            <v>53.4</v>
          </cell>
          <cell r="AF369">
            <v>37.5</v>
          </cell>
          <cell r="AG369">
            <v>57.7</v>
          </cell>
          <cell r="AH369">
            <v>42</v>
          </cell>
          <cell r="AI369">
            <v>63.2</v>
          </cell>
          <cell r="AJ369">
            <v>67.400000000000006</v>
          </cell>
          <cell r="AK369">
            <v>71.7</v>
          </cell>
          <cell r="AL369">
            <v>75.900000000000006</v>
          </cell>
          <cell r="AM369">
            <v>15.7</v>
          </cell>
          <cell r="AN369">
            <v>18.2</v>
          </cell>
          <cell r="AO369">
            <v>11.8</v>
          </cell>
          <cell r="AP369">
            <v>14.3</v>
          </cell>
          <cell r="AQ369">
            <v>12.9</v>
          </cell>
          <cell r="AR369">
            <v>15.4</v>
          </cell>
          <cell r="AS369">
            <v>17.899999999999999</v>
          </cell>
          <cell r="AT369">
            <v>20.399999999999999</v>
          </cell>
          <cell r="AU369">
            <v>22.9</v>
          </cell>
          <cell r="AV369">
            <v>27.8</v>
          </cell>
          <cell r="AW369">
            <v>30.3</v>
          </cell>
          <cell r="AX369">
            <v>18.600000000000001</v>
          </cell>
          <cell r="AY369">
            <v>21.1</v>
          </cell>
          <cell r="AZ369">
            <v>17.600000000000001</v>
          </cell>
          <cell r="BA369">
            <v>20.100000000000001</v>
          </cell>
          <cell r="BB369">
            <v>22.6</v>
          </cell>
          <cell r="BC369">
            <v>25.1</v>
          </cell>
          <cell r="BD369">
            <v>27.6</v>
          </cell>
          <cell r="BE369">
            <v>12.6</v>
          </cell>
          <cell r="BF369">
            <v>11.6</v>
          </cell>
          <cell r="BG369">
            <v>17.2</v>
          </cell>
          <cell r="BH369">
            <v>10.5</v>
          </cell>
          <cell r="BI369">
            <v>15.6</v>
          </cell>
          <cell r="BJ369">
            <v>6.5</v>
          </cell>
          <cell r="BK369">
            <v>5.4</v>
          </cell>
          <cell r="BL369">
            <v>4.4000000000000004</v>
          </cell>
          <cell r="BM369">
            <v>3.3</v>
          </cell>
          <cell r="BN369" t="str">
            <v>--</v>
          </cell>
          <cell r="BO369" t="str">
            <v>--</v>
          </cell>
          <cell r="BP369" t="str">
            <v>--</v>
          </cell>
          <cell r="BQ369" t="str">
            <v>--</v>
          </cell>
          <cell r="BR369" t="str">
            <v>--</v>
          </cell>
          <cell r="BS369" t="str">
            <v>--</v>
          </cell>
          <cell r="BT369" t="str">
            <v>--</v>
          </cell>
          <cell r="BU369" t="str">
            <v>--</v>
          </cell>
          <cell r="BV369" t="str">
            <v>--</v>
          </cell>
          <cell r="BW369" t="str">
            <v>--</v>
          </cell>
          <cell r="BX369" t="str">
            <v>--</v>
          </cell>
          <cell r="BY369" t="str">
            <v>--</v>
          </cell>
          <cell r="BZ369" t="str">
            <v>--</v>
          </cell>
          <cell r="CA369" t="str">
            <v>--</v>
          </cell>
          <cell r="CB369" t="str">
            <v>--</v>
          </cell>
          <cell r="CC369" t="str">
            <v>--</v>
          </cell>
          <cell r="CD369" t="str">
            <v>--</v>
          </cell>
          <cell r="CE369" t="str">
            <v>--</v>
          </cell>
          <cell r="CF369">
            <v>23.7</v>
          </cell>
          <cell r="CG369">
            <v>21.3</v>
          </cell>
          <cell r="CH369">
            <v>24.5</v>
          </cell>
          <cell r="CI369">
            <v>22.1</v>
          </cell>
          <cell r="CJ369">
            <v>11.6</v>
          </cell>
          <cell r="CK369">
            <v>10.4</v>
          </cell>
          <cell r="CL369">
            <v>9.4</v>
          </cell>
          <cell r="CM369">
            <v>8.5</v>
          </cell>
          <cell r="CN369">
            <v>7.6</v>
          </cell>
          <cell r="CO369">
            <v>42.9</v>
          </cell>
          <cell r="CP369">
            <v>38.6</v>
          </cell>
          <cell r="CQ369">
            <v>70.2</v>
          </cell>
          <cell r="CR369">
            <v>63.2</v>
          </cell>
          <cell r="CS369">
            <v>70.5</v>
          </cell>
          <cell r="CT369">
            <v>63.5</v>
          </cell>
          <cell r="CU369">
            <v>57.1</v>
          </cell>
          <cell r="CV369">
            <v>51.4</v>
          </cell>
          <cell r="CW369">
            <v>46.3</v>
          </cell>
          <cell r="CX369">
            <v>37.5</v>
          </cell>
          <cell r="CY369">
            <v>33.799999999999997</v>
          </cell>
          <cell r="CZ369">
            <v>62.5</v>
          </cell>
          <cell r="DA369">
            <v>56.3</v>
          </cell>
          <cell r="DB369">
            <v>57.1</v>
          </cell>
          <cell r="DC369">
            <v>51.4</v>
          </cell>
          <cell r="DD369">
            <v>46.3</v>
          </cell>
          <cell r="DE369">
            <v>41.6</v>
          </cell>
          <cell r="DF369">
            <v>37.5</v>
          </cell>
          <cell r="DG369">
            <v>0</v>
          </cell>
          <cell r="DH369">
            <v>1</v>
          </cell>
          <cell r="DI369">
            <v>0</v>
          </cell>
          <cell r="DJ369">
            <v>1</v>
          </cell>
          <cell r="DK369">
            <v>0</v>
          </cell>
          <cell r="DL369">
            <v>1</v>
          </cell>
          <cell r="DM369">
            <v>1.1000000000000001</v>
          </cell>
          <cell r="DN369">
            <v>1.2</v>
          </cell>
          <cell r="DO369">
            <v>1.3</v>
          </cell>
          <cell r="DP369">
            <v>0</v>
          </cell>
          <cell r="DQ369">
            <v>1</v>
          </cell>
          <cell r="DR369">
            <v>0</v>
          </cell>
          <cell r="DS369">
            <v>1</v>
          </cell>
          <cell r="DT369">
            <v>0</v>
          </cell>
          <cell r="DU369">
            <v>1</v>
          </cell>
          <cell r="DV369">
            <v>1.1000000000000001</v>
          </cell>
          <cell r="DW369">
            <v>1.2</v>
          </cell>
          <cell r="DX369">
            <v>1.3</v>
          </cell>
          <cell r="DY369">
            <v>0</v>
          </cell>
          <cell r="DZ369">
            <v>1</v>
          </cell>
          <cell r="EA369">
            <v>0</v>
          </cell>
          <cell r="EB369">
            <v>1</v>
          </cell>
          <cell r="EC369">
            <v>0</v>
          </cell>
          <cell r="ED369">
            <v>1</v>
          </cell>
          <cell r="EE369">
            <v>1.1000000000000001</v>
          </cell>
          <cell r="EF369">
            <v>1.2</v>
          </cell>
          <cell r="EG369">
            <v>1.3</v>
          </cell>
        </row>
        <row r="370">
          <cell r="A370" t="str">
            <v>02810510Multi-race, Non-Hisp./Lat.</v>
          </cell>
          <cell r="B370" t="str">
            <v>02810510M</v>
          </cell>
          <cell r="C370" t="str">
            <v>0281</v>
          </cell>
          <cell r="D370" t="str">
            <v>02810510</v>
          </cell>
          <cell r="E370" t="str">
            <v>Springfield</v>
          </cell>
          <cell r="F370" t="str">
            <v>High School Of Commerce</v>
          </cell>
          <cell r="G370" t="str">
            <v>HS</v>
          </cell>
          <cell r="H370" t="str">
            <v>Springfield - High School Of Commerce (02810510)</v>
          </cell>
          <cell r="I370" t="str">
            <v>Multi-race, Non-Hisp./Lat.</v>
          </cell>
          <cell r="J370" t="str">
            <v>02810510Multi-race, Non-Hisp./Lat.</v>
          </cell>
          <cell r="K370" t="str">
            <v>Level 4</v>
          </cell>
          <cell r="L370" t="str">
            <v>--</v>
          </cell>
          <cell r="M370" t="str">
            <v>--</v>
          </cell>
          <cell r="N370" t="str">
            <v>--</v>
          </cell>
          <cell r="O370" t="str">
            <v>--</v>
          </cell>
          <cell r="P370" t="str">
            <v>--</v>
          </cell>
          <cell r="Q370" t="str">
            <v>--</v>
          </cell>
          <cell r="R370" t="str">
            <v>--</v>
          </cell>
          <cell r="S370" t="str">
            <v>--</v>
          </cell>
          <cell r="T370" t="str">
            <v>--</v>
          </cell>
          <cell r="U370" t="str">
            <v>--</v>
          </cell>
          <cell r="V370" t="str">
            <v>--</v>
          </cell>
          <cell r="W370" t="str">
            <v>--</v>
          </cell>
          <cell r="X370" t="str">
            <v>--</v>
          </cell>
          <cell r="Y370" t="str">
            <v>--</v>
          </cell>
          <cell r="Z370" t="str">
            <v>--</v>
          </cell>
          <cell r="AA370" t="str">
            <v>--</v>
          </cell>
          <cell r="AB370" t="str">
            <v>--</v>
          </cell>
          <cell r="AC370" t="str">
            <v>--</v>
          </cell>
          <cell r="AD370" t="str">
            <v>--</v>
          </cell>
          <cell r="AE370" t="str">
            <v>--</v>
          </cell>
          <cell r="AF370" t="str">
            <v>--</v>
          </cell>
          <cell r="AG370" t="str">
            <v>--</v>
          </cell>
          <cell r="AH370" t="str">
            <v>--</v>
          </cell>
          <cell r="AI370" t="str">
            <v>--</v>
          </cell>
          <cell r="AJ370" t="str">
            <v>--</v>
          </cell>
          <cell r="AK370" t="str">
            <v>--</v>
          </cell>
          <cell r="AL370" t="str">
            <v>--</v>
          </cell>
          <cell r="AM370" t="str">
            <v>--</v>
          </cell>
          <cell r="AN370" t="str">
            <v>--</v>
          </cell>
          <cell r="AO370" t="str">
            <v>--</v>
          </cell>
          <cell r="AP370" t="str">
            <v>--</v>
          </cell>
          <cell r="AQ370" t="str">
            <v>--</v>
          </cell>
          <cell r="AR370" t="str">
            <v>--</v>
          </cell>
          <cell r="AS370" t="str">
            <v>--</v>
          </cell>
          <cell r="AT370" t="str">
            <v>--</v>
          </cell>
          <cell r="AU370" t="str">
            <v>--</v>
          </cell>
          <cell r="AV370" t="str">
            <v>--</v>
          </cell>
          <cell r="AW370" t="str">
            <v>--</v>
          </cell>
          <cell r="AX370" t="str">
            <v>--</v>
          </cell>
          <cell r="AY370" t="str">
            <v>--</v>
          </cell>
          <cell r="AZ370" t="str">
            <v>--</v>
          </cell>
          <cell r="BA370" t="str">
            <v>--</v>
          </cell>
          <cell r="BB370" t="str">
            <v>--</v>
          </cell>
          <cell r="BC370" t="str">
            <v>--</v>
          </cell>
          <cell r="BD370" t="str">
            <v>--</v>
          </cell>
          <cell r="BE370">
            <v>21.9</v>
          </cell>
          <cell r="BF370">
            <v>20.100000000000001</v>
          </cell>
          <cell r="BG370">
            <v>8.3000000000000007</v>
          </cell>
          <cell r="BH370">
            <v>18.3</v>
          </cell>
          <cell r="BI370">
            <v>15.8</v>
          </cell>
          <cell r="BJ370">
            <v>16.399999999999999</v>
          </cell>
          <cell r="BK370">
            <v>14.6</v>
          </cell>
          <cell r="BL370">
            <v>12.8</v>
          </cell>
          <cell r="BM370">
            <v>11</v>
          </cell>
          <cell r="BN370" t="str">
            <v>--</v>
          </cell>
          <cell r="BO370" t="str">
            <v>--</v>
          </cell>
          <cell r="BP370" t="str">
            <v>--</v>
          </cell>
          <cell r="BQ370" t="str">
            <v>--</v>
          </cell>
          <cell r="BR370" t="str">
            <v>--</v>
          </cell>
          <cell r="BS370" t="str">
            <v>--</v>
          </cell>
          <cell r="BT370" t="str">
            <v>--</v>
          </cell>
          <cell r="BU370" t="str">
            <v>--</v>
          </cell>
          <cell r="BV370" t="str">
            <v>--</v>
          </cell>
          <cell r="BW370" t="str">
            <v>--</v>
          </cell>
          <cell r="BX370" t="str">
            <v>--</v>
          </cell>
          <cell r="BY370" t="str">
            <v>--</v>
          </cell>
          <cell r="BZ370" t="str">
            <v>--</v>
          </cell>
          <cell r="CA370" t="str">
            <v>--</v>
          </cell>
          <cell r="CB370" t="str">
            <v>--</v>
          </cell>
          <cell r="CC370" t="str">
            <v>--</v>
          </cell>
          <cell r="CD370" t="str">
            <v>--</v>
          </cell>
          <cell r="CE370" t="str">
            <v>--</v>
          </cell>
          <cell r="CF370" t="str">
            <v>--</v>
          </cell>
          <cell r="CG370" t="str">
            <v>--</v>
          </cell>
          <cell r="CH370" t="str">
            <v>--</v>
          </cell>
          <cell r="CI370" t="str">
            <v>--</v>
          </cell>
          <cell r="CJ370" t="str">
            <v>--</v>
          </cell>
          <cell r="CK370" t="str">
            <v>--</v>
          </cell>
          <cell r="CL370" t="str">
            <v>--</v>
          </cell>
          <cell r="CM370" t="str">
            <v>--</v>
          </cell>
          <cell r="CN370" t="str">
            <v>--</v>
          </cell>
          <cell r="CO370" t="str">
            <v>--</v>
          </cell>
          <cell r="CP370" t="str">
            <v>--</v>
          </cell>
          <cell r="CQ370" t="str">
            <v>--</v>
          </cell>
          <cell r="CR370" t="str">
            <v>--</v>
          </cell>
          <cell r="CS370" t="str">
            <v>--</v>
          </cell>
          <cell r="CT370" t="str">
            <v>--</v>
          </cell>
          <cell r="CU370" t="str">
            <v>--</v>
          </cell>
          <cell r="CV370" t="str">
            <v>--</v>
          </cell>
          <cell r="CW370" t="str">
            <v>--</v>
          </cell>
          <cell r="CX370" t="str">
            <v>--</v>
          </cell>
          <cell r="CY370" t="str">
            <v>--</v>
          </cell>
          <cell r="CZ370" t="str">
            <v>--</v>
          </cell>
          <cell r="DA370" t="str">
            <v>--</v>
          </cell>
          <cell r="DB370" t="str">
            <v>--</v>
          </cell>
          <cell r="DC370" t="str">
            <v>--</v>
          </cell>
          <cell r="DD370" t="str">
            <v>--</v>
          </cell>
          <cell r="DE370" t="str">
            <v>--</v>
          </cell>
          <cell r="DF370" t="str">
            <v>--</v>
          </cell>
          <cell r="DG370" t="str">
            <v>--</v>
          </cell>
          <cell r="DH370" t="str">
            <v>--</v>
          </cell>
          <cell r="DI370" t="str">
            <v>--</v>
          </cell>
          <cell r="DJ370" t="str">
            <v>--</v>
          </cell>
          <cell r="DK370" t="str">
            <v>--</v>
          </cell>
          <cell r="DL370" t="str">
            <v>--</v>
          </cell>
          <cell r="DM370" t="str">
            <v>--</v>
          </cell>
          <cell r="DN370" t="str">
            <v>--</v>
          </cell>
          <cell r="DO370" t="str">
            <v>--</v>
          </cell>
          <cell r="DP370" t="str">
            <v>--</v>
          </cell>
          <cell r="DQ370" t="str">
            <v>--</v>
          </cell>
          <cell r="DR370" t="str">
            <v>--</v>
          </cell>
          <cell r="DS370" t="str">
            <v>--</v>
          </cell>
          <cell r="DT370" t="str">
            <v>--</v>
          </cell>
          <cell r="DU370" t="str">
            <v>--</v>
          </cell>
          <cell r="DV370" t="str">
            <v>--</v>
          </cell>
          <cell r="DW370" t="str">
            <v>--</v>
          </cell>
          <cell r="DX370" t="str">
            <v>--</v>
          </cell>
          <cell r="DY370" t="str">
            <v>--</v>
          </cell>
          <cell r="DZ370" t="str">
            <v>--</v>
          </cell>
          <cell r="EA370" t="str">
            <v>--</v>
          </cell>
          <cell r="EB370" t="str">
            <v>--</v>
          </cell>
          <cell r="EC370" t="str">
            <v>--</v>
          </cell>
          <cell r="ED370" t="str">
            <v>--</v>
          </cell>
          <cell r="EE370" t="str">
            <v>--</v>
          </cell>
          <cell r="EF370" t="str">
            <v>--</v>
          </cell>
          <cell r="EG370" t="str">
            <v>--</v>
          </cell>
        </row>
        <row r="371">
          <cell r="A371" t="str">
            <v>02810510Amer. Ind. or Alaska Nat.</v>
          </cell>
          <cell r="B371" t="str">
            <v>02810510N</v>
          </cell>
          <cell r="C371" t="str">
            <v>0281</v>
          </cell>
          <cell r="D371" t="str">
            <v>02810510</v>
          </cell>
          <cell r="E371" t="str">
            <v>Springfield</v>
          </cell>
          <cell r="F371" t="str">
            <v>High School Of Commerce</v>
          </cell>
          <cell r="G371" t="str">
            <v>HS</v>
          </cell>
          <cell r="H371" t="str">
            <v>Springfield - High School Of Commerce (02810510)</v>
          </cell>
          <cell r="I371" t="str">
            <v>Amer. Ind. or Alaska Nat.</v>
          </cell>
          <cell r="J371" t="str">
            <v>02810510Amer. Ind. or Alaska Nat.</v>
          </cell>
          <cell r="K371" t="str">
            <v>--</v>
          </cell>
          <cell r="L371" t="str">
            <v>--</v>
          </cell>
          <cell r="M371" t="str">
            <v>--</v>
          </cell>
          <cell r="N371" t="str">
            <v>--</v>
          </cell>
          <cell r="O371" t="str">
            <v>--</v>
          </cell>
          <cell r="P371" t="str">
            <v>--</v>
          </cell>
          <cell r="Q371" t="str">
            <v>--</v>
          </cell>
          <cell r="R371" t="str">
            <v>--</v>
          </cell>
          <cell r="S371" t="str">
            <v>--</v>
          </cell>
          <cell r="T371" t="str">
            <v>--</v>
          </cell>
          <cell r="U371" t="str">
            <v>--</v>
          </cell>
          <cell r="V371" t="str">
            <v>--</v>
          </cell>
          <cell r="W371" t="str">
            <v>--</v>
          </cell>
          <cell r="X371" t="str">
            <v>--</v>
          </cell>
          <cell r="Y371" t="str">
            <v>--</v>
          </cell>
          <cell r="Z371" t="str">
            <v>--</v>
          </cell>
          <cell r="AA371" t="str">
            <v>--</v>
          </cell>
          <cell r="AB371" t="str">
            <v>--</v>
          </cell>
          <cell r="AC371" t="str">
            <v>--</v>
          </cell>
          <cell r="AD371" t="str">
            <v>--</v>
          </cell>
          <cell r="AE371" t="str">
            <v>--</v>
          </cell>
          <cell r="AF371" t="str">
            <v>--</v>
          </cell>
          <cell r="AG371" t="str">
            <v>--</v>
          </cell>
          <cell r="AH371" t="str">
            <v>--</v>
          </cell>
          <cell r="AI371" t="str">
            <v>--</v>
          </cell>
          <cell r="AJ371" t="str">
            <v>--</v>
          </cell>
          <cell r="AK371" t="str">
            <v>--</v>
          </cell>
          <cell r="AL371" t="str">
            <v>--</v>
          </cell>
          <cell r="AM371" t="str">
            <v>--</v>
          </cell>
          <cell r="AN371" t="str">
            <v>--</v>
          </cell>
          <cell r="AO371" t="str">
            <v>--</v>
          </cell>
          <cell r="AP371" t="str">
            <v>--</v>
          </cell>
          <cell r="AQ371" t="str">
            <v>--</v>
          </cell>
          <cell r="AR371" t="str">
            <v>--</v>
          </cell>
          <cell r="AS371" t="str">
            <v>--</v>
          </cell>
          <cell r="AT371" t="str">
            <v>--</v>
          </cell>
          <cell r="AU371" t="str">
            <v>--</v>
          </cell>
          <cell r="AV371" t="str">
            <v>--</v>
          </cell>
          <cell r="AW371" t="str">
            <v>--</v>
          </cell>
          <cell r="AX371" t="str">
            <v>--</v>
          </cell>
          <cell r="AY371" t="str">
            <v>--</v>
          </cell>
          <cell r="AZ371" t="str">
            <v>--</v>
          </cell>
          <cell r="BA371" t="str">
            <v>--</v>
          </cell>
          <cell r="BB371" t="str">
            <v>--</v>
          </cell>
          <cell r="BC371" t="str">
            <v>--</v>
          </cell>
          <cell r="BD371" t="str">
            <v>--</v>
          </cell>
          <cell r="BE371" t="str">
            <v>--</v>
          </cell>
          <cell r="BF371" t="str">
            <v>--</v>
          </cell>
          <cell r="BG371" t="str">
            <v>--</v>
          </cell>
          <cell r="BH371" t="str">
            <v>--</v>
          </cell>
          <cell r="BI371" t="str">
            <v>--</v>
          </cell>
          <cell r="BJ371" t="str">
            <v>--</v>
          </cell>
          <cell r="BK371" t="str">
            <v>--</v>
          </cell>
          <cell r="BL371" t="str">
            <v>--</v>
          </cell>
          <cell r="BM371" t="str">
            <v>--</v>
          </cell>
          <cell r="BN371" t="str">
            <v>--</v>
          </cell>
          <cell r="BO371" t="str">
            <v>--</v>
          </cell>
          <cell r="BP371" t="str">
            <v>--</v>
          </cell>
          <cell r="BQ371" t="str">
            <v>--</v>
          </cell>
          <cell r="BR371" t="str">
            <v>--</v>
          </cell>
          <cell r="BS371" t="str">
            <v>--</v>
          </cell>
          <cell r="BT371" t="str">
            <v>--</v>
          </cell>
          <cell r="BU371" t="str">
            <v>--</v>
          </cell>
          <cell r="BV371" t="str">
            <v>--</v>
          </cell>
          <cell r="BW371" t="str">
            <v>--</v>
          </cell>
          <cell r="BX371" t="str">
            <v>--</v>
          </cell>
          <cell r="BY371" t="str">
            <v>--</v>
          </cell>
          <cell r="BZ371" t="str">
            <v>--</v>
          </cell>
          <cell r="CA371" t="str">
            <v>--</v>
          </cell>
          <cell r="CB371" t="str">
            <v>--</v>
          </cell>
          <cell r="CC371" t="str">
            <v>--</v>
          </cell>
          <cell r="CD371" t="str">
            <v>--</v>
          </cell>
          <cell r="CE371" t="str">
            <v>--</v>
          </cell>
          <cell r="CF371" t="str">
            <v>--</v>
          </cell>
          <cell r="CG371" t="str">
            <v>--</v>
          </cell>
          <cell r="CH371" t="str">
            <v>--</v>
          </cell>
          <cell r="CI371" t="str">
            <v>--</v>
          </cell>
          <cell r="CJ371" t="str">
            <v>--</v>
          </cell>
          <cell r="CK371" t="str">
            <v>--</v>
          </cell>
          <cell r="CL371" t="str">
            <v>--</v>
          </cell>
          <cell r="CM371" t="str">
            <v>--</v>
          </cell>
          <cell r="CN371" t="str">
            <v>--</v>
          </cell>
          <cell r="CO371" t="str">
            <v>--</v>
          </cell>
          <cell r="CP371" t="str">
            <v>--</v>
          </cell>
          <cell r="CQ371" t="str">
            <v>--</v>
          </cell>
          <cell r="CR371" t="str">
            <v>--</v>
          </cell>
          <cell r="CS371" t="str">
            <v>--</v>
          </cell>
          <cell r="CT371" t="str">
            <v>--</v>
          </cell>
          <cell r="CU371" t="str">
            <v>--</v>
          </cell>
          <cell r="CV371" t="str">
            <v>--</v>
          </cell>
          <cell r="CW371" t="str">
            <v>--</v>
          </cell>
          <cell r="CX371" t="str">
            <v>--</v>
          </cell>
          <cell r="CY371" t="str">
            <v>--</v>
          </cell>
          <cell r="CZ371" t="str">
            <v>--</v>
          </cell>
          <cell r="DA371" t="str">
            <v>--</v>
          </cell>
          <cell r="DB371" t="str">
            <v>--</v>
          </cell>
          <cell r="DC371" t="str">
            <v>--</v>
          </cell>
          <cell r="DD371" t="str">
            <v>--</v>
          </cell>
          <cell r="DE371" t="str">
            <v>--</v>
          </cell>
          <cell r="DF371" t="str">
            <v>--</v>
          </cell>
          <cell r="DG371" t="str">
            <v>--</v>
          </cell>
          <cell r="DH371" t="str">
            <v>--</v>
          </cell>
          <cell r="DI371" t="str">
            <v>--</v>
          </cell>
          <cell r="DJ371" t="str">
            <v>--</v>
          </cell>
          <cell r="DK371" t="str">
            <v>--</v>
          </cell>
          <cell r="DL371" t="str">
            <v>--</v>
          </cell>
          <cell r="DM371" t="str">
            <v>--</v>
          </cell>
          <cell r="DN371" t="str">
            <v>--</v>
          </cell>
          <cell r="DO371" t="str">
            <v>--</v>
          </cell>
          <cell r="DP371" t="str">
            <v>--</v>
          </cell>
          <cell r="DQ371" t="str">
            <v>--</v>
          </cell>
          <cell r="DR371" t="str">
            <v>--</v>
          </cell>
          <cell r="DS371" t="str">
            <v>--</v>
          </cell>
          <cell r="DT371" t="str">
            <v>--</v>
          </cell>
          <cell r="DU371" t="str">
            <v>--</v>
          </cell>
          <cell r="DV371" t="str">
            <v>--</v>
          </cell>
          <cell r="DW371" t="str">
            <v>--</v>
          </cell>
          <cell r="DX371" t="str">
            <v>--</v>
          </cell>
          <cell r="DY371" t="str">
            <v>--</v>
          </cell>
          <cell r="DZ371" t="str">
            <v>--</v>
          </cell>
          <cell r="EA371" t="str">
            <v>--</v>
          </cell>
          <cell r="EB371" t="str">
            <v>--</v>
          </cell>
          <cell r="EC371" t="str">
            <v>--</v>
          </cell>
          <cell r="ED371" t="str">
            <v>--</v>
          </cell>
          <cell r="EE371" t="str">
            <v>--</v>
          </cell>
          <cell r="EF371" t="str">
            <v>--</v>
          </cell>
          <cell r="EG371" t="str">
            <v>--</v>
          </cell>
        </row>
        <row r="372">
          <cell r="A372" t="str">
            <v>02810510Nat. Haw. or Pacif. Isl.</v>
          </cell>
          <cell r="B372" t="str">
            <v>02810510P</v>
          </cell>
          <cell r="C372" t="str">
            <v>0281</v>
          </cell>
          <cell r="D372" t="str">
            <v>02810510</v>
          </cell>
          <cell r="E372" t="str">
            <v>Springfield</v>
          </cell>
          <cell r="F372" t="str">
            <v>High School Of Commerce</v>
          </cell>
          <cell r="G372" t="str">
            <v>HS</v>
          </cell>
          <cell r="H372" t="str">
            <v>Springfield - High School Of Commerce (02810510)</v>
          </cell>
          <cell r="I372" t="str">
            <v>Nat. Haw. or Pacif. Isl.</v>
          </cell>
          <cell r="J372" t="str">
            <v>02810510Nat. Haw. or Pacif. Isl.</v>
          </cell>
          <cell r="K372" t="str">
            <v>Level 4</v>
          </cell>
          <cell r="L372" t="str">
            <v>--</v>
          </cell>
          <cell r="M372" t="str">
            <v>--</v>
          </cell>
          <cell r="N372" t="str">
            <v>--</v>
          </cell>
          <cell r="O372" t="str">
            <v>--</v>
          </cell>
          <cell r="P372" t="str">
            <v>--</v>
          </cell>
          <cell r="Q372" t="str">
            <v>--</v>
          </cell>
          <cell r="R372" t="str">
            <v>--</v>
          </cell>
          <cell r="S372" t="str">
            <v>--</v>
          </cell>
          <cell r="T372" t="str">
            <v>--</v>
          </cell>
          <cell r="U372" t="str">
            <v>--</v>
          </cell>
          <cell r="V372" t="str">
            <v>--</v>
          </cell>
          <cell r="W372" t="str">
            <v>--</v>
          </cell>
          <cell r="X372" t="str">
            <v>--</v>
          </cell>
          <cell r="Y372" t="str">
            <v>--</v>
          </cell>
          <cell r="Z372" t="str">
            <v>--</v>
          </cell>
          <cell r="AA372" t="str">
            <v>--</v>
          </cell>
          <cell r="AB372" t="str">
            <v>--</v>
          </cell>
          <cell r="AC372" t="str">
            <v>--</v>
          </cell>
          <cell r="AD372" t="str">
            <v>--</v>
          </cell>
          <cell r="AE372" t="str">
            <v>--</v>
          </cell>
          <cell r="AF372" t="str">
            <v>--</v>
          </cell>
          <cell r="AG372" t="str">
            <v>--</v>
          </cell>
          <cell r="AH372" t="str">
            <v>--</v>
          </cell>
          <cell r="AI372" t="str">
            <v>--</v>
          </cell>
          <cell r="AJ372" t="str">
            <v>--</v>
          </cell>
          <cell r="AK372" t="str">
            <v>--</v>
          </cell>
          <cell r="AL372" t="str">
            <v>--</v>
          </cell>
          <cell r="AM372" t="str">
            <v>--</v>
          </cell>
          <cell r="AN372" t="str">
            <v>--</v>
          </cell>
          <cell r="AO372" t="str">
            <v>--</v>
          </cell>
          <cell r="AP372" t="str">
            <v>--</v>
          </cell>
          <cell r="AQ372" t="str">
            <v>--</v>
          </cell>
          <cell r="AR372" t="str">
            <v>--</v>
          </cell>
          <cell r="AS372" t="str">
            <v>--</v>
          </cell>
          <cell r="AT372" t="str">
            <v>--</v>
          </cell>
          <cell r="AU372" t="str">
            <v>--</v>
          </cell>
          <cell r="AV372" t="str">
            <v>--</v>
          </cell>
          <cell r="AW372" t="str">
            <v>--</v>
          </cell>
          <cell r="AX372" t="str">
            <v>--</v>
          </cell>
          <cell r="AY372" t="str">
            <v>--</v>
          </cell>
          <cell r="AZ372" t="str">
            <v>--</v>
          </cell>
          <cell r="BA372" t="str">
            <v>--</v>
          </cell>
          <cell r="BB372" t="str">
            <v>--</v>
          </cell>
          <cell r="BC372" t="str">
            <v>--</v>
          </cell>
          <cell r="BD372" t="str">
            <v>--</v>
          </cell>
          <cell r="BE372" t="str">
            <v>--</v>
          </cell>
          <cell r="BF372" t="str">
            <v>--</v>
          </cell>
          <cell r="BG372" t="str">
            <v>--</v>
          </cell>
          <cell r="BH372" t="str">
            <v>--</v>
          </cell>
          <cell r="BI372" t="str">
            <v>--</v>
          </cell>
          <cell r="BJ372" t="str">
            <v>--</v>
          </cell>
          <cell r="BK372" t="str">
            <v>--</v>
          </cell>
          <cell r="BL372" t="str">
            <v>--</v>
          </cell>
          <cell r="BM372" t="str">
            <v>--</v>
          </cell>
          <cell r="BN372" t="str">
            <v>--</v>
          </cell>
          <cell r="BO372" t="str">
            <v>--</v>
          </cell>
          <cell r="BP372" t="str">
            <v>--</v>
          </cell>
          <cell r="BQ372" t="str">
            <v>--</v>
          </cell>
          <cell r="BR372" t="str">
            <v>--</v>
          </cell>
          <cell r="BS372" t="str">
            <v>--</v>
          </cell>
          <cell r="BT372" t="str">
            <v>--</v>
          </cell>
          <cell r="BU372" t="str">
            <v>--</v>
          </cell>
          <cell r="BV372" t="str">
            <v>--</v>
          </cell>
          <cell r="BW372" t="str">
            <v>--</v>
          </cell>
          <cell r="BX372" t="str">
            <v>--</v>
          </cell>
          <cell r="BY372" t="str">
            <v>--</v>
          </cell>
          <cell r="BZ372" t="str">
            <v>--</v>
          </cell>
          <cell r="CA372" t="str">
            <v>--</v>
          </cell>
          <cell r="CB372" t="str">
            <v>--</v>
          </cell>
          <cell r="CC372" t="str">
            <v>--</v>
          </cell>
          <cell r="CD372" t="str">
            <v>--</v>
          </cell>
          <cell r="CE372" t="str">
            <v>--</v>
          </cell>
          <cell r="CF372" t="str">
            <v>--</v>
          </cell>
          <cell r="CG372" t="str">
            <v>--</v>
          </cell>
          <cell r="CH372" t="str">
            <v>--</v>
          </cell>
          <cell r="CI372" t="str">
            <v>--</v>
          </cell>
          <cell r="CJ372" t="str">
            <v>--</v>
          </cell>
          <cell r="CK372" t="str">
            <v>--</v>
          </cell>
          <cell r="CL372" t="str">
            <v>--</v>
          </cell>
          <cell r="CM372" t="str">
            <v>--</v>
          </cell>
          <cell r="CN372" t="str">
            <v>--</v>
          </cell>
          <cell r="CO372" t="str">
            <v>--</v>
          </cell>
          <cell r="CP372" t="str">
            <v>--</v>
          </cell>
          <cell r="CQ372" t="str">
            <v>--</v>
          </cell>
          <cell r="CR372" t="str">
            <v>--</v>
          </cell>
          <cell r="CS372" t="str">
            <v>--</v>
          </cell>
          <cell r="CT372" t="str">
            <v>--</v>
          </cell>
          <cell r="CU372" t="str">
            <v>--</v>
          </cell>
          <cell r="CV372" t="str">
            <v>--</v>
          </cell>
          <cell r="CW372" t="str">
            <v>--</v>
          </cell>
          <cell r="CX372" t="str">
            <v>--</v>
          </cell>
          <cell r="CY372" t="str">
            <v>--</v>
          </cell>
          <cell r="CZ372" t="str">
            <v>--</v>
          </cell>
          <cell r="DA372" t="str">
            <v>--</v>
          </cell>
          <cell r="DB372" t="str">
            <v>--</v>
          </cell>
          <cell r="DC372" t="str">
            <v>--</v>
          </cell>
          <cell r="DD372" t="str">
            <v>--</v>
          </cell>
          <cell r="DE372" t="str">
            <v>--</v>
          </cell>
          <cell r="DF372" t="str">
            <v>--</v>
          </cell>
          <cell r="DG372" t="str">
            <v>--</v>
          </cell>
          <cell r="DH372" t="str">
            <v>--</v>
          </cell>
          <cell r="DI372" t="str">
            <v>--</v>
          </cell>
          <cell r="DJ372" t="str">
            <v>--</v>
          </cell>
          <cell r="DK372" t="str">
            <v>--</v>
          </cell>
          <cell r="DL372" t="str">
            <v>--</v>
          </cell>
          <cell r="DM372" t="str">
            <v>--</v>
          </cell>
          <cell r="DN372" t="str">
            <v>--</v>
          </cell>
          <cell r="DO372" t="str">
            <v>--</v>
          </cell>
          <cell r="DP372" t="str">
            <v>--</v>
          </cell>
          <cell r="DQ372" t="str">
            <v>--</v>
          </cell>
          <cell r="DR372" t="str">
            <v>--</v>
          </cell>
          <cell r="DS372" t="str">
            <v>--</v>
          </cell>
          <cell r="DT372" t="str">
            <v>--</v>
          </cell>
          <cell r="DU372" t="str">
            <v>--</v>
          </cell>
          <cell r="DV372" t="str">
            <v>--</v>
          </cell>
          <cell r="DW372" t="str">
            <v>--</v>
          </cell>
          <cell r="DX372" t="str">
            <v>--</v>
          </cell>
          <cell r="DY372" t="str">
            <v>--</v>
          </cell>
          <cell r="DZ372" t="str">
            <v>--</v>
          </cell>
          <cell r="EA372" t="str">
            <v>--</v>
          </cell>
          <cell r="EB372" t="str">
            <v>--</v>
          </cell>
          <cell r="EC372" t="str">
            <v>--</v>
          </cell>
          <cell r="ED372" t="str">
            <v>--</v>
          </cell>
          <cell r="EE372" t="str">
            <v>--</v>
          </cell>
          <cell r="EF372" t="str">
            <v>--</v>
          </cell>
          <cell r="EG372" t="str">
            <v>--</v>
          </cell>
        </row>
        <row r="373">
          <cell r="A373" t="str">
            <v>02810510High needs</v>
          </cell>
          <cell r="B373" t="str">
            <v>02810510S</v>
          </cell>
          <cell r="C373" t="str">
            <v>0281</v>
          </cell>
          <cell r="D373" t="str">
            <v>02810510</v>
          </cell>
          <cell r="E373" t="str">
            <v>Springfield</v>
          </cell>
          <cell r="F373" t="str">
            <v>High School Of Commerce</v>
          </cell>
          <cell r="G373" t="str">
            <v>HS</v>
          </cell>
          <cell r="H373" t="str">
            <v>Springfield - High School Of Commerce (02810510)</v>
          </cell>
          <cell r="I373" t="str">
            <v>High needs</v>
          </cell>
          <cell r="J373" t="str">
            <v>02810510High needs</v>
          </cell>
          <cell r="K373" t="str">
            <v>Level 4</v>
          </cell>
          <cell r="L373">
            <v>78.900000000000006</v>
          </cell>
          <cell r="M373">
            <v>80.7</v>
          </cell>
          <cell r="N373">
            <v>77.900000000000006</v>
          </cell>
          <cell r="O373">
            <v>82.4</v>
          </cell>
          <cell r="P373">
            <v>87.3</v>
          </cell>
          <cell r="Q373">
            <v>85.5</v>
          </cell>
          <cell r="R373">
            <v>87.2</v>
          </cell>
          <cell r="S373">
            <v>89</v>
          </cell>
          <cell r="T373">
            <v>90.8</v>
          </cell>
          <cell r="U373">
            <v>59.4</v>
          </cell>
          <cell r="V373">
            <v>62.8</v>
          </cell>
          <cell r="W373">
            <v>51.5</v>
          </cell>
          <cell r="X373">
            <v>66.2</v>
          </cell>
          <cell r="Y373">
            <v>58.7</v>
          </cell>
          <cell r="Z373">
            <v>70.900000000000006</v>
          </cell>
          <cell r="AA373">
            <v>74.2</v>
          </cell>
          <cell r="AB373">
            <v>77.599999999999994</v>
          </cell>
          <cell r="AC373">
            <v>81</v>
          </cell>
          <cell r="AD373">
            <v>54.3</v>
          </cell>
          <cell r="AE373">
            <v>58.1</v>
          </cell>
          <cell r="AF373">
            <v>46.4</v>
          </cell>
          <cell r="AG373">
            <v>61.9</v>
          </cell>
          <cell r="AH373">
            <v>51.2</v>
          </cell>
          <cell r="AI373">
            <v>67</v>
          </cell>
          <cell r="AJ373">
            <v>70.8</v>
          </cell>
          <cell r="AK373">
            <v>74.599999999999994</v>
          </cell>
          <cell r="AL373">
            <v>78.5</v>
          </cell>
          <cell r="AM373">
            <v>35.1</v>
          </cell>
          <cell r="AN373">
            <v>37.6</v>
          </cell>
          <cell r="AO373">
            <v>29.7</v>
          </cell>
          <cell r="AP373">
            <v>32.200000000000003</v>
          </cell>
          <cell r="AQ373">
            <v>35.799999999999997</v>
          </cell>
          <cell r="AR373">
            <v>38.299999999999997</v>
          </cell>
          <cell r="AS373">
            <v>40.799999999999997</v>
          </cell>
          <cell r="AT373">
            <v>43.3</v>
          </cell>
          <cell r="AU373">
            <v>45.8</v>
          </cell>
          <cell r="AV373">
            <v>42.7</v>
          </cell>
          <cell r="AW373">
            <v>45.2</v>
          </cell>
          <cell r="AX373">
            <v>37.799999999999997</v>
          </cell>
          <cell r="AY373">
            <v>40.299999999999997</v>
          </cell>
          <cell r="AZ373">
            <v>35</v>
          </cell>
          <cell r="BA373">
            <v>37.5</v>
          </cell>
          <cell r="BB373">
            <v>40</v>
          </cell>
          <cell r="BC373">
            <v>42.5</v>
          </cell>
          <cell r="BD373">
            <v>45</v>
          </cell>
          <cell r="BE373">
            <v>13.9</v>
          </cell>
          <cell r="BF373">
            <v>12.7</v>
          </cell>
          <cell r="BG373">
            <v>17.600000000000001</v>
          </cell>
          <cell r="BH373">
            <v>11.6</v>
          </cell>
          <cell r="BI373">
            <v>12.1</v>
          </cell>
          <cell r="BJ373">
            <v>7.4</v>
          </cell>
          <cell r="BK373">
            <v>6.3</v>
          </cell>
          <cell r="BL373">
            <v>5.0999999999999996</v>
          </cell>
          <cell r="BM373">
            <v>4</v>
          </cell>
          <cell r="BN373">
            <v>35</v>
          </cell>
          <cell r="BO373">
            <v>45</v>
          </cell>
          <cell r="BP373">
            <v>30.5</v>
          </cell>
          <cell r="BQ373">
            <v>40.5</v>
          </cell>
          <cell r="BR373">
            <v>61</v>
          </cell>
          <cell r="BS373">
            <v>60</v>
          </cell>
          <cell r="BT373">
            <v>60</v>
          </cell>
          <cell r="BU373">
            <v>60</v>
          </cell>
          <cell r="BV373">
            <v>60</v>
          </cell>
          <cell r="BW373">
            <v>30</v>
          </cell>
          <cell r="BX373">
            <v>40</v>
          </cell>
          <cell r="BY373">
            <v>20.5</v>
          </cell>
          <cell r="BZ373">
            <v>30.5</v>
          </cell>
          <cell r="CA373">
            <v>27</v>
          </cell>
          <cell r="CB373">
            <v>41.5</v>
          </cell>
          <cell r="CC373">
            <v>56</v>
          </cell>
          <cell r="CD373">
            <v>60</v>
          </cell>
          <cell r="CE373">
            <v>60</v>
          </cell>
          <cell r="CF373">
            <v>7.8</v>
          </cell>
          <cell r="CG373">
            <v>7</v>
          </cell>
          <cell r="CH373">
            <v>8.8000000000000007</v>
          </cell>
          <cell r="CI373">
            <v>7.9</v>
          </cell>
          <cell r="CJ373">
            <v>4.2</v>
          </cell>
          <cell r="CK373">
            <v>3.8</v>
          </cell>
          <cell r="CL373">
            <v>3.4</v>
          </cell>
          <cell r="CM373">
            <v>3.1</v>
          </cell>
          <cell r="CN373">
            <v>2.8</v>
          </cell>
          <cell r="CO373">
            <v>33.6</v>
          </cell>
          <cell r="CP373">
            <v>30.2</v>
          </cell>
          <cell r="CQ373">
            <v>45.6</v>
          </cell>
          <cell r="CR373">
            <v>41</v>
          </cell>
          <cell r="CS373">
            <v>34.1</v>
          </cell>
          <cell r="CT373">
            <v>30.7</v>
          </cell>
          <cell r="CU373">
            <v>27.6</v>
          </cell>
          <cell r="CV373">
            <v>24.9</v>
          </cell>
          <cell r="CW373">
            <v>22.4</v>
          </cell>
          <cell r="CX373">
            <v>32</v>
          </cell>
          <cell r="CY373">
            <v>28.8</v>
          </cell>
          <cell r="CZ373">
            <v>43.9</v>
          </cell>
          <cell r="DA373">
            <v>39.5</v>
          </cell>
          <cell r="DB373">
            <v>34.299999999999997</v>
          </cell>
          <cell r="DC373">
            <v>30.9</v>
          </cell>
          <cell r="DD373">
            <v>27.8</v>
          </cell>
          <cell r="DE373">
            <v>25</v>
          </cell>
          <cell r="DF373">
            <v>22.5</v>
          </cell>
          <cell r="DG373">
            <v>3.9</v>
          </cell>
          <cell r="DH373">
            <v>4.3</v>
          </cell>
          <cell r="DI373">
            <v>4.9000000000000004</v>
          </cell>
          <cell r="DJ373">
            <v>5.4</v>
          </cell>
          <cell r="DK373">
            <v>6.6</v>
          </cell>
          <cell r="DL373">
            <v>7.3</v>
          </cell>
          <cell r="DM373">
            <v>8</v>
          </cell>
          <cell r="DN373">
            <v>8.8000000000000007</v>
          </cell>
          <cell r="DO373">
            <v>9.6999999999999993</v>
          </cell>
          <cell r="DP373">
            <v>6.3</v>
          </cell>
          <cell r="DQ373">
            <v>6.9</v>
          </cell>
          <cell r="DR373">
            <v>5.5</v>
          </cell>
          <cell r="DS373">
            <v>6.1</v>
          </cell>
          <cell r="DT373">
            <v>5.5</v>
          </cell>
          <cell r="DU373">
            <v>6.1</v>
          </cell>
          <cell r="DV373">
            <v>6.7</v>
          </cell>
          <cell r="DW373">
            <v>7.3</v>
          </cell>
          <cell r="DX373">
            <v>8.1</v>
          </cell>
          <cell r="DY373">
            <v>0</v>
          </cell>
          <cell r="DZ373">
            <v>1</v>
          </cell>
          <cell r="EA373">
            <v>0</v>
          </cell>
          <cell r="EB373">
            <v>1</v>
          </cell>
          <cell r="EC373">
            <v>0.9</v>
          </cell>
          <cell r="ED373">
            <v>1</v>
          </cell>
          <cell r="EE373">
            <v>1.1000000000000001</v>
          </cell>
          <cell r="EF373">
            <v>1.2</v>
          </cell>
          <cell r="EG373">
            <v>1.3</v>
          </cell>
        </row>
        <row r="374">
          <cell r="A374" t="str">
            <v>02810510All students</v>
          </cell>
          <cell r="B374" t="str">
            <v>02810510T</v>
          </cell>
          <cell r="C374" t="str">
            <v>0281</v>
          </cell>
          <cell r="D374" t="str">
            <v>02810510</v>
          </cell>
          <cell r="E374" t="str">
            <v>Springfield</v>
          </cell>
          <cell r="F374" t="str">
            <v>High School Of Commerce</v>
          </cell>
          <cell r="G374" t="str">
            <v>HS</v>
          </cell>
          <cell r="H374" t="str">
            <v>Springfield - High School Of Commerce (02810510)</v>
          </cell>
          <cell r="I374" t="str">
            <v>All students</v>
          </cell>
          <cell r="J374" t="str">
            <v>02810510All students</v>
          </cell>
          <cell r="K374" t="str">
            <v>Level 4</v>
          </cell>
          <cell r="L374">
            <v>81</v>
          </cell>
          <cell r="M374">
            <v>82.6</v>
          </cell>
          <cell r="N374">
            <v>78.900000000000006</v>
          </cell>
          <cell r="O374">
            <v>84.2</v>
          </cell>
          <cell r="P374">
            <v>87.5</v>
          </cell>
          <cell r="Q374">
            <v>87.1</v>
          </cell>
          <cell r="R374">
            <v>88.6</v>
          </cell>
          <cell r="S374">
            <v>90.2</v>
          </cell>
          <cell r="T374">
            <v>91.8</v>
          </cell>
          <cell r="U374">
            <v>61.4</v>
          </cell>
          <cell r="V374">
            <v>64.599999999999994</v>
          </cell>
          <cell r="W374">
            <v>52</v>
          </cell>
          <cell r="X374">
            <v>67.8</v>
          </cell>
          <cell r="Y374">
            <v>58.7</v>
          </cell>
          <cell r="Z374">
            <v>72.400000000000006</v>
          </cell>
          <cell r="AA374">
            <v>75.599999999999994</v>
          </cell>
          <cell r="AB374">
            <v>78.8</v>
          </cell>
          <cell r="AC374">
            <v>82</v>
          </cell>
          <cell r="AD374">
            <v>56.3</v>
          </cell>
          <cell r="AE374">
            <v>59.9</v>
          </cell>
          <cell r="AF374">
            <v>48.2</v>
          </cell>
          <cell r="AG374">
            <v>63.6</v>
          </cell>
          <cell r="AH374">
            <v>51.4</v>
          </cell>
          <cell r="AI374">
            <v>68.5</v>
          </cell>
          <cell r="AJ374">
            <v>72.2</v>
          </cell>
          <cell r="AK374">
            <v>75.8</v>
          </cell>
          <cell r="AL374">
            <v>79.5</v>
          </cell>
          <cell r="AM374">
            <v>35.799999999999997</v>
          </cell>
          <cell r="AN374">
            <v>38.299999999999997</v>
          </cell>
          <cell r="AO374">
            <v>30.1</v>
          </cell>
          <cell r="AP374">
            <v>32.6</v>
          </cell>
          <cell r="AQ374">
            <v>35.4</v>
          </cell>
          <cell r="AR374">
            <v>37.9</v>
          </cell>
          <cell r="AS374">
            <v>40.4</v>
          </cell>
          <cell r="AT374">
            <v>42.9</v>
          </cell>
          <cell r="AU374">
            <v>45.4</v>
          </cell>
          <cell r="AV374">
            <v>43.7</v>
          </cell>
          <cell r="AW374">
            <v>46.2</v>
          </cell>
          <cell r="AX374">
            <v>38.299999999999997</v>
          </cell>
          <cell r="AY374">
            <v>40.799999999999997</v>
          </cell>
          <cell r="AZ374">
            <v>35.4</v>
          </cell>
          <cell r="BA374">
            <v>37.9</v>
          </cell>
          <cell r="BB374">
            <v>40.4</v>
          </cell>
          <cell r="BC374">
            <v>42.9</v>
          </cell>
          <cell r="BD374">
            <v>45.4</v>
          </cell>
          <cell r="BE374">
            <v>15.5</v>
          </cell>
          <cell r="BF374">
            <v>14.2</v>
          </cell>
          <cell r="BG374">
            <v>18.100000000000001</v>
          </cell>
          <cell r="BH374">
            <v>12.9</v>
          </cell>
          <cell r="BI374">
            <v>13.6</v>
          </cell>
          <cell r="BJ374">
            <v>8.6</v>
          </cell>
          <cell r="BK374">
            <v>7.3</v>
          </cell>
          <cell r="BL374">
            <v>6</v>
          </cell>
          <cell r="BM374">
            <v>4.8</v>
          </cell>
          <cell r="BN374">
            <v>35.5</v>
          </cell>
          <cell r="BO374">
            <v>45.5</v>
          </cell>
          <cell r="BP374">
            <v>30</v>
          </cell>
          <cell r="BQ374">
            <v>40</v>
          </cell>
          <cell r="BR374">
            <v>59</v>
          </cell>
          <cell r="BS374">
            <v>60</v>
          </cell>
          <cell r="BT374">
            <v>60</v>
          </cell>
          <cell r="BU374">
            <v>60</v>
          </cell>
          <cell r="BV374">
            <v>60</v>
          </cell>
          <cell r="BW374">
            <v>30</v>
          </cell>
          <cell r="BX374">
            <v>40</v>
          </cell>
          <cell r="BY374">
            <v>20</v>
          </cell>
          <cell r="BZ374">
            <v>30</v>
          </cell>
          <cell r="CA374">
            <v>25</v>
          </cell>
          <cell r="CB374">
            <v>39.5</v>
          </cell>
          <cell r="CC374">
            <v>54</v>
          </cell>
          <cell r="CD374">
            <v>60</v>
          </cell>
          <cell r="CE374">
            <v>60</v>
          </cell>
          <cell r="CF374">
            <v>6.6</v>
          </cell>
          <cell r="CG374">
            <v>5.9</v>
          </cell>
          <cell r="CH374">
            <v>8</v>
          </cell>
          <cell r="CI374">
            <v>7.2</v>
          </cell>
          <cell r="CJ374">
            <v>4.2</v>
          </cell>
          <cell r="CK374">
            <v>3.8</v>
          </cell>
          <cell r="CL374">
            <v>3.4</v>
          </cell>
          <cell r="CM374">
            <v>3.1</v>
          </cell>
          <cell r="CN374">
            <v>2.8</v>
          </cell>
          <cell r="CO374">
            <v>30.2</v>
          </cell>
          <cell r="CP374">
            <v>27.2</v>
          </cell>
          <cell r="CQ374">
            <v>45.7</v>
          </cell>
          <cell r="CR374">
            <v>41.1</v>
          </cell>
          <cell r="CS374">
            <v>34.1</v>
          </cell>
          <cell r="CT374">
            <v>30.7</v>
          </cell>
          <cell r="CU374">
            <v>27.6</v>
          </cell>
          <cell r="CV374">
            <v>24.9</v>
          </cell>
          <cell r="CW374">
            <v>22.4</v>
          </cell>
          <cell r="CX374">
            <v>30.7</v>
          </cell>
          <cell r="CY374">
            <v>27.6</v>
          </cell>
          <cell r="CZ374">
            <v>41.7</v>
          </cell>
          <cell r="DA374">
            <v>37.5</v>
          </cell>
          <cell r="DB374">
            <v>33.6</v>
          </cell>
          <cell r="DC374">
            <v>30.2</v>
          </cell>
          <cell r="DD374">
            <v>27.2</v>
          </cell>
          <cell r="DE374">
            <v>24.5</v>
          </cell>
          <cell r="DF374">
            <v>22</v>
          </cell>
          <cell r="DG374">
            <v>4.5999999999999996</v>
          </cell>
          <cell r="DH374">
            <v>5.0999999999999996</v>
          </cell>
          <cell r="DI374">
            <v>4.5</v>
          </cell>
          <cell r="DJ374">
            <v>5</v>
          </cell>
          <cell r="DK374">
            <v>6.5</v>
          </cell>
          <cell r="DL374">
            <v>7.2</v>
          </cell>
          <cell r="DM374">
            <v>7.9</v>
          </cell>
          <cell r="DN374">
            <v>8.6999999999999993</v>
          </cell>
          <cell r="DO374">
            <v>9.5</v>
          </cell>
          <cell r="DP374">
            <v>9.4</v>
          </cell>
          <cell r="DQ374">
            <v>10.3</v>
          </cell>
          <cell r="DR374">
            <v>6</v>
          </cell>
          <cell r="DS374">
            <v>6.6</v>
          </cell>
          <cell r="DT374">
            <v>5.4</v>
          </cell>
          <cell r="DU374">
            <v>5.9</v>
          </cell>
          <cell r="DV374">
            <v>6.5</v>
          </cell>
          <cell r="DW374">
            <v>7.2</v>
          </cell>
          <cell r="DX374">
            <v>7.9</v>
          </cell>
          <cell r="DY374">
            <v>1.4</v>
          </cell>
          <cell r="DZ374">
            <v>1.5</v>
          </cell>
          <cell r="EA374">
            <v>0.7</v>
          </cell>
          <cell r="EB374">
            <v>0.8</v>
          </cell>
          <cell r="EC374">
            <v>0.9</v>
          </cell>
          <cell r="ED374">
            <v>1</v>
          </cell>
          <cell r="EE374">
            <v>1.1000000000000001</v>
          </cell>
          <cell r="EF374">
            <v>1.2</v>
          </cell>
          <cell r="EG374">
            <v>1.3</v>
          </cell>
        </row>
        <row r="375">
          <cell r="A375" t="str">
            <v>02810530Asian</v>
          </cell>
          <cell r="B375" t="str">
            <v>02810530A</v>
          </cell>
          <cell r="C375" t="str">
            <v>0281</v>
          </cell>
          <cell r="D375" t="str">
            <v>02810530</v>
          </cell>
          <cell r="E375" t="str">
            <v>Springfield</v>
          </cell>
          <cell r="F375" t="str">
            <v>High School/Science-Tech</v>
          </cell>
          <cell r="G375" t="str">
            <v>HS</v>
          </cell>
          <cell r="H375" t="str">
            <v>Springfield - High School/Science-Tech (02810530)</v>
          </cell>
          <cell r="I375" t="str">
            <v>Asian</v>
          </cell>
          <cell r="J375" t="str">
            <v>02810530Asian</v>
          </cell>
          <cell r="K375" t="str">
            <v>--</v>
          </cell>
          <cell r="L375" t="str">
            <v>--</v>
          </cell>
          <cell r="M375" t="str">
            <v>--</v>
          </cell>
          <cell r="N375" t="str">
            <v>--</v>
          </cell>
          <cell r="O375" t="str">
            <v>--</v>
          </cell>
          <cell r="P375" t="str">
            <v>--</v>
          </cell>
          <cell r="Q375" t="str">
            <v>--</v>
          </cell>
          <cell r="R375" t="str">
            <v>--</v>
          </cell>
          <cell r="S375" t="str">
            <v>--</v>
          </cell>
          <cell r="T375" t="str">
            <v>--</v>
          </cell>
          <cell r="U375" t="str">
            <v>--</v>
          </cell>
          <cell r="V375" t="str">
            <v>--</v>
          </cell>
          <cell r="W375" t="str">
            <v>--</v>
          </cell>
          <cell r="X375" t="str">
            <v>--</v>
          </cell>
          <cell r="Y375" t="str">
            <v>--</v>
          </cell>
          <cell r="Z375" t="str">
            <v>--</v>
          </cell>
          <cell r="AA375" t="str">
            <v>--</v>
          </cell>
          <cell r="AB375" t="str">
            <v>--</v>
          </cell>
          <cell r="AC375" t="str">
            <v>--</v>
          </cell>
          <cell r="AD375" t="str">
            <v>--</v>
          </cell>
          <cell r="AE375" t="str">
            <v>--</v>
          </cell>
          <cell r="AF375" t="str">
            <v>--</v>
          </cell>
          <cell r="AG375" t="str">
            <v>--</v>
          </cell>
          <cell r="AH375" t="str">
            <v>--</v>
          </cell>
          <cell r="AI375" t="str">
            <v>--</v>
          </cell>
          <cell r="AJ375" t="str">
            <v>--</v>
          </cell>
          <cell r="AK375" t="str">
            <v>--</v>
          </cell>
          <cell r="AL375" t="str">
            <v>--</v>
          </cell>
          <cell r="AM375" t="str">
            <v>--</v>
          </cell>
          <cell r="AN375" t="str">
            <v>--</v>
          </cell>
          <cell r="AO375" t="str">
            <v>--</v>
          </cell>
          <cell r="AP375" t="str">
            <v>--</v>
          </cell>
          <cell r="AQ375" t="str">
            <v>--</v>
          </cell>
          <cell r="AR375" t="str">
            <v>--</v>
          </cell>
          <cell r="AS375" t="str">
            <v>--</v>
          </cell>
          <cell r="AT375" t="str">
            <v>--</v>
          </cell>
          <cell r="AU375" t="str">
            <v>--</v>
          </cell>
          <cell r="AV375" t="str">
            <v>--</v>
          </cell>
          <cell r="AW375" t="str">
            <v>--</v>
          </cell>
          <cell r="AX375" t="str">
            <v>--</v>
          </cell>
          <cell r="AY375" t="str">
            <v>--</v>
          </cell>
          <cell r="AZ375" t="str">
            <v>--</v>
          </cell>
          <cell r="BA375" t="str">
            <v>--</v>
          </cell>
          <cell r="BB375" t="str">
            <v>--</v>
          </cell>
          <cell r="BC375" t="str">
            <v>--</v>
          </cell>
          <cell r="BD375" t="str">
            <v>--</v>
          </cell>
          <cell r="BE375">
            <v>6.9</v>
          </cell>
          <cell r="BF375">
            <v>6.3</v>
          </cell>
          <cell r="BG375">
            <v>10.5</v>
          </cell>
          <cell r="BH375">
            <v>5.8</v>
          </cell>
          <cell r="BI375">
            <v>0</v>
          </cell>
          <cell r="BJ375">
            <v>5.2</v>
          </cell>
          <cell r="BK375">
            <v>4.5999999999999996</v>
          </cell>
          <cell r="BL375">
            <v>4</v>
          </cell>
          <cell r="BM375">
            <v>3.5</v>
          </cell>
          <cell r="BN375" t="str">
            <v>--</v>
          </cell>
          <cell r="BO375" t="str">
            <v>--</v>
          </cell>
          <cell r="BP375" t="str">
            <v>--</v>
          </cell>
          <cell r="BQ375" t="str">
            <v>--</v>
          </cell>
          <cell r="BR375" t="str">
            <v>--</v>
          </cell>
          <cell r="BS375" t="str">
            <v>--</v>
          </cell>
          <cell r="BT375" t="str">
            <v>--</v>
          </cell>
          <cell r="BU375" t="str">
            <v>--</v>
          </cell>
          <cell r="BV375" t="str">
            <v>--</v>
          </cell>
          <cell r="BW375" t="str">
            <v>--</v>
          </cell>
          <cell r="BX375" t="str">
            <v>--</v>
          </cell>
          <cell r="BY375" t="str">
            <v>--</v>
          </cell>
          <cell r="BZ375" t="str">
            <v>--</v>
          </cell>
          <cell r="CA375" t="str">
            <v>--</v>
          </cell>
          <cell r="CB375" t="str">
            <v>--</v>
          </cell>
          <cell r="CC375" t="str">
            <v>--</v>
          </cell>
          <cell r="CD375" t="str">
            <v>--</v>
          </cell>
          <cell r="CE375" t="str">
            <v>--</v>
          </cell>
          <cell r="CF375" t="str">
            <v>--</v>
          </cell>
          <cell r="CG375" t="str">
            <v>--</v>
          </cell>
          <cell r="CH375" t="str">
            <v>--</v>
          </cell>
          <cell r="CI375" t="str">
            <v>--</v>
          </cell>
          <cell r="CJ375" t="str">
            <v>--</v>
          </cell>
          <cell r="CK375" t="str">
            <v>--</v>
          </cell>
          <cell r="CL375" t="str">
            <v>--</v>
          </cell>
          <cell r="CM375" t="str">
            <v>--</v>
          </cell>
          <cell r="CN375" t="str">
            <v>--</v>
          </cell>
          <cell r="CO375" t="str">
            <v>--</v>
          </cell>
          <cell r="CP375" t="str">
            <v>--</v>
          </cell>
          <cell r="CQ375" t="str">
            <v>--</v>
          </cell>
          <cell r="CR375" t="str">
            <v>--</v>
          </cell>
          <cell r="CS375" t="str">
            <v>--</v>
          </cell>
          <cell r="CT375" t="str">
            <v>--</v>
          </cell>
          <cell r="CU375" t="str">
            <v>--</v>
          </cell>
          <cell r="CV375" t="str">
            <v>--</v>
          </cell>
          <cell r="CW375" t="str">
            <v>--</v>
          </cell>
          <cell r="CX375" t="str">
            <v>--</v>
          </cell>
          <cell r="CY375" t="str">
            <v>--</v>
          </cell>
          <cell r="CZ375" t="str">
            <v>--</v>
          </cell>
          <cell r="DA375" t="str">
            <v>--</v>
          </cell>
          <cell r="DB375" t="str">
            <v>--</v>
          </cell>
          <cell r="DC375" t="str">
            <v>--</v>
          </cell>
          <cell r="DD375" t="str">
            <v>--</v>
          </cell>
          <cell r="DE375" t="str">
            <v>--</v>
          </cell>
          <cell r="DF375" t="str">
            <v>--</v>
          </cell>
          <cell r="DG375" t="str">
            <v>--</v>
          </cell>
          <cell r="DH375" t="str">
            <v>--</v>
          </cell>
          <cell r="DI375" t="str">
            <v>--</v>
          </cell>
          <cell r="DJ375" t="str">
            <v>--</v>
          </cell>
          <cell r="DK375" t="str">
            <v>--</v>
          </cell>
          <cell r="DL375" t="str">
            <v>--</v>
          </cell>
          <cell r="DM375" t="str">
            <v>--</v>
          </cell>
          <cell r="DN375" t="str">
            <v>--</v>
          </cell>
          <cell r="DO375" t="str">
            <v>--</v>
          </cell>
          <cell r="DP375" t="str">
            <v>--</v>
          </cell>
          <cell r="DQ375" t="str">
            <v>--</v>
          </cell>
          <cell r="DR375" t="str">
            <v>--</v>
          </cell>
          <cell r="DS375" t="str">
            <v>--</v>
          </cell>
          <cell r="DT375" t="str">
            <v>--</v>
          </cell>
          <cell r="DU375" t="str">
            <v>--</v>
          </cell>
          <cell r="DV375" t="str">
            <v>--</v>
          </cell>
          <cell r="DW375" t="str">
            <v>--</v>
          </cell>
          <cell r="DX375" t="str">
            <v>--</v>
          </cell>
          <cell r="DY375" t="str">
            <v>--</v>
          </cell>
          <cell r="DZ375" t="str">
            <v>--</v>
          </cell>
          <cell r="EA375" t="str">
            <v>--</v>
          </cell>
          <cell r="EB375" t="str">
            <v>--</v>
          </cell>
          <cell r="EC375" t="str">
            <v>--</v>
          </cell>
          <cell r="ED375" t="str">
            <v>--</v>
          </cell>
          <cell r="EE375" t="str">
            <v>--</v>
          </cell>
          <cell r="EF375" t="str">
            <v>--</v>
          </cell>
          <cell r="EG375" t="str">
            <v>--</v>
          </cell>
        </row>
        <row r="376">
          <cell r="A376" t="str">
            <v>02810530Afr. Amer/Black</v>
          </cell>
          <cell r="B376" t="str">
            <v>02810530B</v>
          </cell>
          <cell r="C376" t="str">
            <v>0281</v>
          </cell>
          <cell r="D376" t="str">
            <v>02810530</v>
          </cell>
          <cell r="E376" t="str">
            <v>Springfield</v>
          </cell>
          <cell r="F376" t="str">
            <v>High School/Science-Tech</v>
          </cell>
          <cell r="G376" t="str">
            <v>HS</v>
          </cell>
          <cell r="H376" t="str">
            <v>Springfield - High School/Science-Tech (02810530)</v>
          </cell>
          <cell r="I376" t="str">
            <v>Afr. Amer/Black</v>
          </cell>
          <cell r="J376" t="str">
            <v>02810530Afr. Amer/Black</v>
          </cell>
          <cell r="K376" t="str">
            <v>--</v>
          </cell>
          <cell r="L376">
            <v>79.400000000000006</v>
          </cell>
          <cell r="M376">
            <v>81.099999999999994</v>
          </cell>
          <cell r="N376">
            <v>86.5</v>
          </cell>
          <cell r="O376">
            <v>82.8</v>
          </cell>
          <cell r="P376">
            <v>92.2</v>
          </cell>
          <cell r="Q376">
            <v>84.6</v>
          </cell>
          <cell r="R376">
            <v>86.3</v>
          </cell>
          <cell r="S376">
            <v>88</v>
          </cell>
          <cell r="T376">
            <v>89.7</v>
          </cell>
          <cell r="U376">
            <v>61.9</v>
          </cell>
          <cell r="V376">
            <v>65.099999999999994</v>
          </cell>
          <cell r="W376">
            <v>57.1</v>
          </cell>
          <cell r="X376">
            <v>68.3</v>
          </cell>
          <cell r="Y376">
            <v>59.1</v>
          </cell>
          <cell r="Z376">
            <v>71.400000000000006</v>
          </cell>
          <cell r="AA376">
            <v>74.599999999999994</v>
          </cell>
          <cell r="AB376">
            <v>77.8</v>
          </cell>
          <cell r="AC376">
            <v>81</v>
          </cell>
          <cell r="AD376">
            <v>52.5</v>
          </cell>
          <cell r="AE376">
            <v>56.5</v>
          </cell>
          <cell r="AF376">
            <v>50.5</v>
          </cell>
          <cell r="AG376">
            <v>60.4</v>
          </cell>
          <cell r="AH376">
            <v>53.6</v>
          </cell>
          <cell r="AI376">
            <v>64.400000000000006</v>
          </cell>
          <cell r="AJ376">
            <v>68.3</v>
          </cell>
          <cell r="AK376">
            <v>72.3</v>
          </cell>
          <cell r="AL376">
            <v>76.3</v>
          </cell>
          <cell r="AM376">
            <v>43.5</v>
          </cell>
          <cell r="AN376">
            <v>46</v>
          </cell>
          <cell r="AO376">
            <v>44.7</v>
          </cell>
          <cell r="AP376">
            <v>47.2</v>
          </cell>
          <cell r="AQ376">
            <v>44.3</v>
          </cell>
          <cell r="AR376">
            <v>46.8</v>
          </cell>
          <cell r="AS376">
            <v>49.3</v>
          </cell>
          <cell r="AT376">
            <v>51.8</v>
          </cell>
          <cell r="AU376">
            <v>54.3</v>
          </cell>
          <cell r="AV376">
            <v>63.6</v>
          </cell>
          <cell r="AW376">
            <v>66.099999999999994</v>
          </cell>
          <cell r="AX376">
            <v>47.8</v>
          </cell>
          <cell r="AY376">
            <v>50.3</v>
          </cell>
          <cell r="AZ376">
            <v>47.9</v>
          </cell>
          <cell r="BA376">
            <v>50.4</v>
          </cell>
          <cell r="BB376">
            <v>52.9</v>
          </cell>
          <cell r="BC376">
            <v>55.4</v>
          </cell>
          <cell r="BD376">
            <v>57.9</v>
          </cell>
          <cell r="BE376">
            <v>15.4</v>
          </cell>
          <cell r="BF376">
            <v>14.1</v>
          </cell>
          <cell r="BG376">
            <v>15.3</v>
          </cell>
          <cell r="BH376">
            <v>12.8</v>
          </cell>
          <cell r="BI376">
            <v>11</v>
          </cell>
          <cell r="BJ376">
            <v>11.6</v>
          </cell>
          <cell r="BK376">
            <v>10.3</v>
          </cell>
          <cell r="BL376">
            <v>9</v>
          </cell>
          <cell r="BM376">
            <v>7.7</v>
          </cell>
          <cell r="BN376" t="str">
            <v>--</v>
          </cell>
          <cell r="BO376" t="str">
            <v>--</v>
          </cell>
          <cell r="BP376">
            <v>25</v>
          </cell>
          <cell r="BQ376" t="str">
            <v>--</v>
          </cell>
          <cell r="BR376">
            <v>34</v>
          </cell>
          <cell r="BS376">
            <v>44</v>
          </cell>
          <cell r="BT376">
            <v>51</v>
          </cell>
          <cell r="BU376">
            <v>51</v>
          </cell>
          <cell r="BV376">
            <v>51</v>
          </cell>
          <cell r="BW376" t="str">
            <v>--</v>
          </cell>
          <cell r="BX376" t="str">
            <v>--</v>
          </cell>
          <cell r="BY376" t="str">
            <v>--</v>
          </cell>
          <cell r="BZ376" t="str">
            <v>--</v>
          </cell>
          <cell r="CA376">
            <v>38</v>
          </cell>
          <cell r="CB376">
            <v>48</v>
          </cell>
          <cell r="CC376">
            <v>51</v>
          </cell>
          <cell r="CD376">
            <v>51</v>
          </cell>
          <cell r="CE376">
            <v>51</v>
          </cell>
          <cell r="CF376">
            <v>11.1</v>
          </cell>
          <cell r="CG376">
            <v>10</v>
          </cell>
          <cell r="CH376">
            <v>5.8</v>
          </cell>
          <cell r="CI376">
            <v>5.2</v>
          </cell>
          <cell r="CJ376">
            <v>2</v>
          </cell>
          <cell r="CK376">
            <v>1.8</v>
          </cell>
          <cell r="CL376">
            <v>1.6</v>
          </cell>
          <cell r="CM376">
            <v>1.5</v>
          </cell>
          <cell r="CN376">
            <v>1.3</v>
          </cell>
          <cell r="CO376">
            <v>31.8</v>
          </cell>
          <cell r="CP376">
            <v>28.6</v>
          </cell>
          <cell r="CQ376">
            <v>37.5</v>
          </cell>
          <cell r="CR376">
            <v>33.799999999999997</v>
          </cell>
          <cell r="CS376">
            <v>28.8</v>
          </cell>
          <cell r="CT376">
            <v>25.9</v>
          </cell>
          <cell r="CU376">
            <v>23.3</v>
          </cell>
          <cell r="CV376">
            <v>21</v>
          </cell>
          <cell r="CW376">
            <v>18.899999999999999</v>
          </cell>
          <cell r="CX376">
            <v>27.5</v>
          </cell>
          <cell r="CY376">
            <v>24.8</v>
          </cell>
          <cell r="CZ376">
            <v>27.3</v>
          </cell>
          <cell r="DA376">
            <v>24.6</v>
          </cell>
          <cell r="DB376">
            <v>20.8</v>
          </cell>
          <cell r="DC376">
            <v>18.7</v>
          </cell>
          <cell r="DD376">
            <v>16.8</v>
          </cell>
          <cell r="DE376">
            <v>15.2</v>
          </cell>
          <cell r="DF376">
            <v>13.6</v>
          </cell>
          <cell r="DG376">
            <v>4.4000000000000004</v>
          </cell>
          <cell r="DH376">
            <v>4.8</v>
          </cell>
          <cell r="DI376">
            <v>9.6</v>
          </cell>
          <cell r="DJ376">
            <v>10.6</v>
          </cell>
          <cell r="DK376">
            <v>2</v>
          </cell>
          <cell r="DL376">
            <v>2.2000000000000002</v>
          </cell>
          <cell r="DM376">
            <v>2.4</v>
          </cell>
          <cell r="DN376">
            <v>2.7</v>
          </cell>
          <cell r="DO376">
            <v>2.9</v>
          </cell>
          <cell r="DP376">
            <v>6.8</v>
          </cell>
          <cell r="DQ376">
            <v>7.5</v>
          </cell>
          <cell r="DR376">
            <v>10.7</v>
          </cell>
          <cell r="DS376">
            <v>11.8</v>
          </cell>
          <cell r="DT376">
            <v>7.7</v>
          </cell>
          <cell r="DU376">
            <v>8.5</v>
          </cell>
          <cell r="DV376">
            <v>9.3000000000000007</v>
          </cell>
          <cell r="DW376">
            <v>10.199999999999999</v>
          </cell>
          <cell r="DX376">
            <v>11.3</v>
          </cell>
          <cell r="DY376">
            <v>0</v>
          </cell>
          <cell r="DZ376">
            <v>1</v>
          </cell>
          <cell r="EA376">
            <v>0</v>
          </cell>
          <cell r="EB376">
            <v>1</v>
          </cell>
          <cell r="EC376">
            <v>2.1</v>
          </cell>
          <cell r="ED376">
            <v>2.2999999999999998</v>
          </cell>
          <cell r="EE376">
            <v>2.5</v>
          </cell>
          <cell r="EF376">
            <v>2.8</v>
          </cell>
          <cell r="EG376">
            <v>3.1</v>
          </cell>
        </row>
        <row r="377">
          <cell r="A377" t="str">
            <v>02810530White</v>
          </cell>
          <cell r="B377" t="str">
            <v>02810530C</v>
          </cell>
          <cell r="C377" t="str">
            <v>0281</v>
          </cell>
          <cell r="D377" t="str">
            <v>02810530</v>
          </cell>
          <cell r="E377" t="str">
            <v>Springfield</v>
          </cell>
          <cell r="F377" t="str">
            <v>High School/Science-Tech</v>
          </cell>
          <cell r="G377" t="str">
            <v>HS</v>
          </cell>
          <cell r="H377" t="str">
            <v>Springfield - High School/Science-Tech (02810530)</v>
          </cell>
          <cell r="I377" t="str">
            <v>White</v>
          </cell>
          <cell r="J377" t="str">
            <v>02810530White</v>
          </cell>
          <cell r="K377" t="str">
            <v>--</v>
          </cell>
          <cell r="L377">
            <v>72.7</v>
          </cell>
          <cell r="M377">
            <v>75</v>
          </cell>
          <cell r="N377">
            <v>87</v>
          </cell>
          <cell r="O377">
            <v>77.3</v>
          </cell>
          <cell r="P377">
            <v>88.7</v>
          </cell>
          <cell r="Q377">
            <v>79.5</v>
          </cell>
          <cell r="R377">
            <v>81.8</v>
          </cell>
          <cell r="S377">
            <v>84.1</v>
          </cell>
          <cell r="T377">
            <v>86.4</v>
          </cell>
          <cell r="U377">
            <v>68.3</v>
          </cell>
          <cell r="V377">
            <v>70.900000000000006</v>
          </cell>
          <cell r="W377">
            <v>70</v>
          </cell>
          <cell r="X377">
            <v>73.599999999999994</v>
          </cell>
          <cell r="Y377">
            <v>58.3</v>
          </cell>
          <cell r="Z377">
            <v>76.2</v>
          </cell>
          <cell r="AA377">
            <v>78.900000000000006</v>
          </cell>
          <cell r="AB377">
            <v>81.5</v>
          </cell>
          <cell r="AC377">
            <v>84.2</v>
          </cell>
          <cell r="AD377">
            <v>68.099999999999994</v>
          </cell>
          <cell r="AE377">
            <v>70.8</v>
          </cell>
          <cell r="AF377">
            <v>66.7</v>
          </cell>
          <cell r="AG377">
            <v>73.400000000000006</v>
          </cell>
          <cell r="AH377">
            <v>63</v>
          </cell>
          <cell r="AI377">
            <v>76.099999999999994</v>
          </cell>
          <cell r="AJ377">
            <v>78.7</v>
          </cell>
          <cell r="AK377">
            <v>81.400000000000006</v>
          </cell>
          <cell r="AL377">
            <v>84.1</v>
          </cell>
          <cell r="AM377">
            <v>42.9</v>
          </cell>
          <cell r="AN377">
            <v>45.4</v>
          </cell>
          <cell r="AO377">
            <v>56.6</v>
          </cell>
          <cell r="AP377">
            <v>59.1</v>
          </cell>
          <cell r="AQ377">
            <v>48.8</v>
          </cell>
          <cell r="AR377">
            <v>51.3</v>
          </cell>
          <cell r="AS377">
            <v>53.8</v>
          </cell>
          <cell r="AT377">
            <v>56.3</v>
          </cell>
          <cell r="AU377">
            <v>58.8</v>
          </cell>
          <cell r="AV377">
            <v>54.3</v>
          </cell>
          <cell r="AW377">
            <v>56.8</v>
          </cell>
          <cell r="AX377">
            <v>46.4</v>
          </cell>
          <cell r="AY377">
            <v>48.9</v>
          </cell>
          <cell r="AZ377">
            <v>66</v>
          </cell>
          <cell r="BA377">
            <v>68.5</v>
          </cell>
          <cell r="BB377">
            <v>71</v>
          </cell>
          <cell r="BC377">
            <v>73.5</v>
          </cell>
          <cell r="BD377">
            <v>76</v>
          </cell>
          <cell r="BE377">
            <v>13.1</v>
          </cell>
          <cell r="BF377">
            <v>12</v>
          </cell>
          <cell r="BG377">
            <v>10.6</v>
          </cell>
          <cell r="BH377">
            <v>10.9</v>
          </cell>
          <cell r="BI377">
            <v>8.8000000000000007</v>
          </cell>
          <cell r="BJ377">
            <v>9.8000000000000007</v>
          </cell>
          <cell r="BK377">
            <v>8.6999999999999993</v>
          </cell>
          <cell r="BL377">
            <v>7.6</v>
          </cell>
          <cell r="BM377">
            <v>6.6</v>
          </cell>
          <cell r="BN377" t="str">
            <v>--</v>
          </cell>
          <cell r="BO377" t="str">
            <v>--</v>
          </cell>
          <cell r="BP377" t="str">
            <v>--</v>
          </cell>
          <cell r="BQ377" t="str">
            <v>--</v>
          </cell>
          <cell r="BR377" t="str">
            <v>--</v>
          </cell>
          <cell r="BS377" t="str">
            <v>--</v>
          </cell>
          <cell r="BT377" t="str">
            <v>--</v>
          </cell>
          <cell r="BU377" t="str">
            <v>--</v>
          </cell>
          <cell r="BV377" t="str">
            <v>--</v>
          </cell>
          <cell r="BW377" t="str">
            <v>--</v>
          </cell>
          <cell r="BX377" t="str">
            <v>--</v>
          </cell>
          <cell r="BY377" t="str">
            <v>--</v>
          </cell>
          <cell r="BZ377" t="str">
            <v>--</v>
          </cell>
          <cell r="CA377" t="str">
            <v>--</v>
          </cell>
          <cell r="CB377" t="str">
            <v>--</v>
          </cell>
          <cell r="CC377" t="str">
            <v>--</v>
          </cell>
          <cell r="CD377" t="str">
            <v>--</v>
          </cell>
          <cell r="CE377" t="str">
            <v>--</v>
          </cell>
          <cell r="CF377">
            <v>13.3</v>
          </cell>
          <cell r="CG377">
            <v>14</v>
          </cell>
          <cell r="CH377">
            <v>3.7</v>
          </cell>
          <cell r="CI377">
            <v>3.3</v>
          </cell>
          <cell r="CJ377">
            <v>0</v>
          </cell>
          <cell r="CK377">
            <v>0</v>
          </cell>
          <cell r="CL377">
            <v>0</v>
          </cell>
          <cell r="CM377">
            <v>0</v>
          </cell>
          <cell r="CN377">
            <v>0</v>
          </cell>
          <cell r="CO377">
            <v>20</v>
          </cell>
          <cell r="CP377">
            <v>24</v>
          </cell>
          <cell r="CQ377">
            <v>24</v>
          </cell>
          <cell r="CR377">
            <v>21.6</v>
          </cell>
          <cell r="CS377">
            <v>40</v>
          </cell>
          <cell r="CT377">
            <v>36</v>
          </cell>
          <cell r="CU377">
            <v>32.4</v>
          </cell>
          <cell r="CV377">
            <v>29.2</v>
          </cell>
          <cell r="CW377">
            <v>26.2</v>
          </cell>
          <cell r="CX377">
            <v>13.3</v>
          </cell>
          <cell r="CY377">
            <v>15.5</v>
          </cell>
          <cell r="CZ377">
            <v>4.2</v>
          </cell>
          <cell r="DA377">
            <v>3.8</v>
          </cell>
          <cell r="DB377">
            <v>20</v>
          </cell>
          <cell r="DC377">
            <v>18</v>
          </cell>
          <cell r="DD377">
            <v>16.2</v>
          </cell>
          <cell r="DE377">
            <v>14.6</v>
          </cell>
          <cell r="DF377">
            <v>13.1</v>
          </cell>
          <cell r="DG377">
            <v>33.299999999999997</v>
          </cell>
          <cell r="DH377">
            <v>10.3</v>
          </cell>
          <cell r="DI377">
            <v>14.8</v>
          </cell>
          <cell r="DJ377">
            <v>16.3</v>
          </cell>
          <cell r="DK377">
            <v>3.2</v>
          </cell>
          <cell r="DL377">
            <v>3.5</v>
          </cell>
          <cell r="DM377">
            <v>3.9</v>
          </cell>
          <cell r="DN377">
            <v>4.3</v>
          </cell>
          <cell r="DO377">
            <v>4.7</v>
          </cell>
          <cell r="DP377">
            <v>40</v>
          </cell>
          <cell r="DQ377">
            <v>25.6</v>
          </cell>
          <cell r="DR377">
            <v>24</v>
          </cell>
          <cell r="DS377">
            <v>26.4</v>
          </cell>
          <cell r="DT377">
            <v>6.7</v>
          </cell>
          <cell r="DU377">
            <v>7.4</v>
          </cell>
          <cell r="DV377">
            <v>8.1</v>
          </cell>
          <cell r="DW377">
            <v>8.9</v>
          </cell>
          <cell r="DX377">
            <v>9.8000000000000007</v>
          </cell>
          <cell r="DY377">
            <v>0</v>
          </cell>
          <cell r="DZ377">
            <v>1</v>
          </cell>
          <cell r="EA377">
            <v>0</v>
          </cell>
          <cell r="EB377">
            <v>1</v>
          </cell>
          <cell r="EC377">
            <v>4</v>
          </cell>
          <cell r="ED377">
            <v>4.4000000000000004</v>
          </cell>
          <cell r="EE377">
            <v>4.8</v>
          </cell>
          <cell r="EF377">
            <v>5.3</v>
          </cell>
          <cell r="EG377">
            <v>5.9</v>
          </cell>
        </row>
        <row r="378">
          <cell r="A378" t="str">
            <v>02810530Students w/disabilities</v>
          </cell>
          <cell r="B378" t="str">
            <v>02810530D</v>
          </cell>
          <cell r="C378" t="str">
            <v>0281</v>
          </cell>
          <cell r="D378" t="str">
            <v>02810530</v>
          </cell>
          <cell r="E378" t="str">
            <v>Springfield</v>
          </cell>
          <cell r="F378" t="str">
            <v>High School/Science-Tech</v>
          </cell>
          <cell r="G378" t="str">
            <v>HS</v>
          </cell>
          <cell r="H378" t="str">
            <v>Springfield - High School/Science-Tech (02810530)</v>
          </cell>
          <cell r="I378" t="str">
            <v>Students w/disabilities</v>
          </cell>
          <cell r="J378" t="str">
            <v>02810530Students w/disabilities</v>
          </cell>
          <cell r="K378" t="str">
            <v>--</v>
          </cell>
          <cell r="L378">
            <v>59.8</v>
          </cell>
          <cell r="M378">
            <v>63.2</v>
          </cell>
          <cell r="N378">
            <v>59.8</v>
          </cell>
          <cell r="O378">
            <v>66.5</v>
          </cell>
          <cell r="P378">
            <v>67.900000000000006</v>
          </cell>
          <cell r="Q378">
            <v>69.900000000000006</v>
          </cell>
          <cell r="R378">
            <v>73.2</v>
          </cell>
          <cell r="S378">
            <v>76.599999999999994</v>
          </cell>
          <cell r="T378">
            <v>79.900000000000006</v>
          </cell>
          <cell r="U378">
            <v>41.7</v>
          </cell>
          <cell r="V378">
            <v>46.6</v>
          </cell>
          <cell r="W378">
            <v>38</v>
          </cell>
          <cell r="X378">
            <v>51.4</v>
          </cell>
          <cell r="Y378">
            <v>41.4</v>
          </cell>
          <cell r="Z378">
            <v>56.3</v>
          </cell>
          <cell r="AA378">
            <v>61.1</v>
          </cell>
          <cell r="AB378">
            <v>66</v>
          </cell>
          <cell r="AC378">
            <v>70.900000000000006</v>
          </cell>
          <cell r="AD378">
            <v>48.4</v>
          </cell>
          <cell r="AE378">
            <v>52.7</v>
          </cell>
          <cell r="AF378">
            <v>37.5</v>
          </cell>
          <cell r="AG378">
            <v>57</v>
          </cell>
          <cell r="AH378">
            <v>50</v>
          </cell>
          <cell r="AI378">
            <v>61.3</v>
          </cell>
          <cell r="AJ378">
            <v>65.599999999999994</v>
          </cell>
          <cell r="AK378">
            <v>69.900000000000006</v>
          </cell>
          <cell r="AL378">
            <v>74.2</v>
          </cell>
          <cell r="AM378">
            <v>26.4</v>
          </cell>
          <cell r="AN378">
            <v>28.9</v>
          </cell>
          <cell r="AO378">
            <v>23.2</v>
          </cell>
          <cell r="AP378">
            <v>25.7</v>
          </cell>
          <cell r="AQ378">
            <v>27.5</v>
          </cell>
          <cell r="AR378">
            <v>30</v>
          </cell>
          <cell r="AS378">
            <v>32.5</v>
          </cell>
          <cell r="AT378">
            <v>35</v>
          </cell>
          <cell r="AU378">
            <v>37.5</v>
          </cell>
          <cell r="AV378">
            <v>35.799999999999997</v>
          </cell>
          <cell r="AW378">
            <v>38.299999999999997</v>
          </cell>
          <cell r="AX378">
            <v>28.9</v>
          </cell>
          <cell r="AY378">
            <v>31.4</v>
          </cell>
          <cell r="AZ378">
            <v>28.8</v>
          </cell>
          <cell r="BA378">
            <v>31.3</v>
          </cell>
          <cell r="BB378">
            <v>33.799999999999997</v>
          </cell>
          <cell r="BC378">
            <v>36.299999999999997</v>
          </cell>
          <cell r="BD378">
            <v>38.799999999999997</v>
          </cell>
          <cell r="BE378">
            <v>14.2</v>
          </cell>
          <cell r="BF378">
            <v>13</v>
          </cell>
          <cell r="BG378">
            <v>14.2</v>
          </cell>
          <cell r="BH378">
            <v>11.8</v>
          </cell>
          <cell r="BI378">
            <v>11.4</v>
          </cell>
          <cell r="BJ378">
            <v>10.7</v>
          </cell>
          <cell r="BK378">
            <v>9.5</v>
          </cell>
          <cell r="BL378">
            <v>8.3000000000000007</v>
          </cell>
          <cell r="BM378">
            <v>7.1</v>
          </cell>
          <cell r="BN378" t="str">
            <v>--</v>
          </cell>
          <cell r="BO378" t="str">
            <v>--</v>
          </cell>
          <cell r="BP378" t="str">
            <v>--</v>
          </cell>
          <cell r="BQ378" t="str">
            <v>--</v>
          </cell>
          <cell r="BR378" t="str">
            <v>--</v>
          </cell>
          <cell r="BS378" t="str">
            <v>--</v>
          </cell>
          <cell r="BT378" t="str">
            <v>--</v>
          </cell>
          <cell r="BU378" t="str">
            <v>--</v>
          </cell>
          <cell r="BV378" t="str">
            <v>--</v>
          </cell>
          <cell r="BW378" t="str">
            <v>--</v>
          </cell>
          <cell r="BX378" t="str">
            <v>--</v>
          </cell>
          <cell r="BY378" t="str">
            <v>--</v>
          </cell>
          <cell r="BZ378" t="str">
            <v>--</v>
          </cell>
          <cell r="CA378" t="str">
            <v>--</v>
          </cell>
          <cell r="CB378" t="str">
            <v>--</v>
          </cell>
          <cell r="CC378" t="str">
            <v>--</v>
          </cell>
          <cell r="CD378" t="str">
            <v>--</v>
          </cell>
          <cell r="CE378" t="str">
            <v>--</v>
          </cell>
          <cell r="CF378">
            <v>30.3</v>
          </cell>
          <cell r="CG378">
            <v>27.3</v>
          </cell>
          <cell r="CH378">
            <v>26.1</v>
          </cell>
          <cell r="CI378">
            <v>23.5</v>
          </cell>
          <cell r="CJ378">
            <v>18.899999999999999</v>
          </cell>
          <cell r="CK378">
            <v>17</v>
          </cell>
          <cell r="CL378">
            <v>15.3</v>
          </cell>
          <cell r="CM378">
            <v>13.8</v>
          </cell>
          <cell r="CN378">
            <v>12.4</v>
          </cell>
          <cell r="CO378">
            <v>53.3</v>
          </cell>
          <cell r="CP378">
            <v>48</v>
          </cell>
          <cell r="CQ378">
            <v>70.8</v>
          </cell>
          <cell r="CR378">
            <v>63.7</v>
          </cell>
          <cell r="CS378">
            <v>63.6</v>
          </cell>
          <cell r="CT378">
            <v>57.2</v>
          </cell>
          <cell r="CU378">
            <v>51.5</v>
          </cell>
          <cell r="CV378">
            <v>46.4</v>
          </cell>
          <cell r="CW378">
            <v>41.7</v>
          </cell>
          <cell r="CX378">
            <v>43.8</v>
          </cell>
          <cell r="CY378">
            <v>39.4</v>
          </cell>
          <cell r="CZ378">
            <v>55</v>
          </cell>
          <cell r="DA378">
            <v>49.5</v>
          </cell>
          <cell r="DB378">
            <v>46.9</v>
          </cell>
          <cell r="DC378">
            <v>42.2</v>
          </cell>
          <cell r="DD378">
            <v>38</v>
          </cell>
          <cell r="DE378">
            <v>34.200000000000003</v>
          </cell>
          <cell r="DF378">
            <v>30.8</v>
          </cell>
          <cell r="DG378">
            <v>3</v>
          </cell>
          <cell r="DH378">
            <v>3.3</v>
          </cell>
          <cell r="DI378">
            <v>0</v>
          </cell>
          <cell r="DJ378">
            <v>1</v>
          </cell>
          <cell r="DK378">
            <v>0</v>
          </cell>
          <cell r="DL378">
            <v>1</v>
          </cell>
          <cell r="DM378">
            <v>1.1000000000000001</v>
          </cell>
          <cell r="DN378">
            <v>1.2</v>
          </cell>
          <cell r="DO378">
            <v>1.3</v>
          </cell>
          <cell r="DP378">
            <v>3.3</v>
          </cell>
          <cell r="DQ378">
            <v>3.6</v>
          </cell>
          <cell r="DR378">
            <v>0</v>
          </cell>
          <cell r="DS378">
            <v>1</v>
          </cell>
          <cell r="DT378">
            <v>0</v>
          </cell>
          <cell r="DU378">
            <v>1</v>
          </cell>
          <cell r="DV378">
            <v>1.1000000000000001</v>
          </cell>
          <cell r="DW378">
            <v>1.2</v>
          </cell>
          <cell r="DX378">
            <v>1.3</v>
          </cell>
          <cell r="DY378">
            <v>0</v>
          </cell>
          <cell r="DZ378">
            <v>1</v>
          </cell>
          <cell r="EA378">
            <v>0</v>
          </cell>
          <cell r="EB378">
            <v>1</v>
          </cell>
          <cell r="EC378">
            <v>0</v>
          </cell>
          <cell r="ED378">
            <v>1</v>
          </cell>
          <cell r="EE378">
            <v>1.1000000000000001</v>
          </cell>
          <cell r="EF378">
            <v>1.2</v>
          </cell>
          <cell r="EG378">
            <v>1.3</v>
          </cell>
        </row>
        <row r="379">
          <cell r="A379" t="str">
            <v>02810530Low income</v>
          </cell>
          <cell r="B379" t="str">
            <v>02810530F</v>
          </cell>
          <cell r="C379" t="str">
            <v>0281</v>
          </cell>
          <cell r="D379" t="str">
            <v>02810530</v>
          </cell>
          <cell r="E379" t="str">
            <v>Springfield</v>
          </cell>
          <cell r="F379" t="str">
            <v>High School/Science-Tech</v>
          </cell>
          <cell r="G379" t="str">
            <v>HS</v>
          </cell>
          <cell r="H379" t="str">
            <v>Springfield - High School/Science-Tech (02810530)</v>
          </cell>
          <cell r="I379" t="str">
            <v>Low income</v>
          </cell>
          <cell r="J379" t="str">
            <v>02810530Low income</v>
          </cell>
          <cell r="K379" t="str">
            <v>--</v>
          </cell>
          <cell r="L379">
            <v>81.599999999999994</v>
          </cell>
          <cell r="M379">
            <v>83.1</v>
          </cell>
          <cell r="N379">
            <v>83</v>
          </cell>
          <cell r="O379">
            <v>84.7</v>
          </cell>
          <cell r="P379">
            <v>85.7</v>
          </cell>
          <cell r="Q379">
            <v>86.2</v>
          </cell>
          <cell r="R379">
            <v>87.7</v>
          </cell>
          <cell r="S379">
            <v>89.3</v>
          </cell>
          <cell r="T379">
            <v>90.8</v>
          </cell>
          <cell r="U379">
            <v>64.599999999999994</v>
          </cell>
          <cell r="V379">
            <v>67.599999999999994</v>
          </cell>
          <cell r="W379">
            <v>62.6</v>
          </cell>
          <cell r="X379">
            <v>70.5</v>
          </cell>
          <cell r="Y379">
            <v>55.4</v>
          </cell>
          <cell r="Z379">
            <v>73.5</v>
          </cell>
          <cell r="AA379">
            <v>76.400000000000006</v>
          </cell>
          <cell r="AB379">
            <v>79.400000000000006</v>
          </cell>
          <cell r="AC379">
            <v>82.3</v>
          </cell>
          <cell r="AD379">
            <v>53.4</v>
          </cell>
          <cell r="AE379">
            <v>57.3</v>
          </cell>
          <cell r="AF379">
            <v>53.1</v>
          </cell>
          <cell r="AG379">
            <v>61.2</v>
          </cell>
          <cell r="AH379">
            <v>50.6</v>
          </cell>
          <cell r="AI379">
            <v>65.099999999999994</v>
          </cell>
          <cell r="AJ379">
            <v>68.900000000000006</v>
          </cell>
          <cell r="AK379">
            <v>72.8</v>
          </cell>
          <cell r="AL379">
            <v>76.7</v>
          </cell>
          <cell r="AM379">
            <v>38.700000000000003</v>
          </cell>
          <cell r="AN379">
            <v>41.2</v>
          </cell>
          <cell r="AO379">
            <v>34.1</v>
          </cell>
          <cell r="AP379">
            <v>36.6</v>
          </cell>
          <cell r="AQ379">
            <v>39.299999999999997</v>
          </cell>
          <cell r="AR379">
            <v>41.8</v>
          </cell>
          <cell r="AS379">
            <v>44.3</v>
          </cell>
          <cell r="AT379">
            <v>46.8</v>
          </cell>
          <cell r="AU379">
            <v>49.3</v>
          </cell>
          <cell r="AV379">
            <v>49.6</v>
          </cell>
          <cell r="AW379">
            <v>52.1</v>
          </cell>
          <cell r="AX379">
            <v>41.6</v>
          </cell>
          <cell r="AY379">
            <v>44.1</v>
          </cell>
          <cell r="AZ379">
            <v>40.200000000000003</v>
          </cell>
          <cell r="BA379">
            <v>42.7</v>
          </cell>
          <cell r="BB379">
            <v>45.2</v>
          </cell>
          <cell r="BC379">
            <v>47.7</v>
          </cell>
          <cell r="BD379">
            <v>50.2</v>
          </cell>
          <cell r="BE379">
            <v>13.9</v>
          </cell>
          <cell r="BF379">
            <v>12.7</v>
          </cell>
          <cell r="BG379">
            <v>16.100000000000001</v>
          </cell>
          <cell r="BH379">
            <v>11.6</v>
          </cell>
          <cell r="BI379">
            <v>11.3</v>
          </cell>
          <cell r="BJ379">
            <v>10.4</v>
          </cell>
          <cell r="BK379">
            <v>9.3000000000000007</v>
          </cell>
          <cell r="BL379">
            <v>8.1</v>
          </cell>
          <cell r="BM379">
            <v>7</v>
          </cell>
          <cell r="BN379">
            <v>38</v>
          </cell>
          <cell r="BO379">
            <v>48</v>
          </cell>
          <cell r="BP379">
            <v>31.5</v>
          </cell>
          <cell r="BQ379">
            <v>41.5</v>
          </cell>
          <cell r="BR379">
            <v>29</v>
          </cell>
          <cell r="BS379">
            <v>39</v>
          </cell>
          <cell r="BT379">
            <v>49</v>
          </cell>
          <cell r="BU379">
            <v>51</v>
          </cell>
          <cell r="BV379">
            <v>51</v>
          </cell>
          <cell r="BW379">
            <v>43.5</v>
          </cell>
          <cell r="BX379">
            <v>51</v>
          </cell>
          <cell r="BY379">
            <v>36</v>
          </cell>
          <cell r="BZ379">
            <v>46</v>
          </cell>
          <cell r="CA379">
            <v>20</v>
          </cell>
          <cell r="CB379">
            <v>30</v>
          </cell>
          <cell r="CC379">
            <v>40</v>
          </cell>
          <cell r="CD379">
            <v>50</v>
          </cell>
          <cell r="CE379">
            <v>51</v>
          </cell>
          <cell r="CF379">
            <v>8.8000000000000007</v>
          </cell>
          <cell r="CG379">
            <v>7.9</v>
          </cell>
          <cell r="CH379">
            <v>6.9</v>
          </cell>
          <cell r="CI379">
            <v>6.2</v>
          </cell>
          <cell r="CJ379">
            <v>5.7</v>
          </cell>
          <cell r="CK379">
            <v>5.0999999999999996</v>
          </cell>
          <cell r="CL379">
            <v>4.5999999999999996</v>
          </cell>
          <cell r="CM379">
            <v>4.2</v>
          </cell>
          <cell r="CN379">
            <v>3.7</v>
          </cell>
          <cell r="CO379">
            <v>26.5</v>
          </cell>
          <cell r="CP379">
            <v>23.9</v>
          </cell>
          <cell r="CQ379">
            <v>32.200000000000003</v>
          </cell>
          <cell r="CR379">
            <v>29</v>
          </cell>
          <cell r="CS379">
            <v>38.9</v>
          </cell>
          <cell r="CT379">
            <v>35</v>
          </cell>
          <cell r="CU379">
            <v>31.5</v>
          </cell>
          <cell r="CV379">
            <v>28.4</v>
          </cell>
          <cell r="CW379">
            <v>25.5</v>
          </cell>
          <cell r="CX379">
            <v>26.2</v>
          </cell>
          <cell r="CY379">
            <v>23.6</v>
          </cell>
          <cell r="CZ379">
            <v>25.4</v>
          </cell>
          <cell r="DA379">
            <v>22.9</v>
          </cell>
          <cell r="DB379">
            <v>31</v>
          </cell>
          <cell r="DC379">
            <v>27.9</v>
          </cell>
          <cell r="DD379">
            <v>25.1</v>
          </cell>
          <cell r="DE379">
            <v>22.6</v>
          </cell>
          <cell r="DF379">
            <v>20.3</v>
          </cell>
          <cell r="DG379">
            <v>6.1</v>
          </cell>
          <cell r="DH379">
            <v>6.7</v>
          </cell>
          <cell r="DI379">
            <v>7.4</v>
          </cell>
          <cell r="DJ379">
            <v>8.1</v>
          </cell>
          <cell r="DK379">
            <v>1.9</v>
          </cell>
          <cell r="DL379">
            <v>2.1</v>
          </cell>
          <cell r="DM379">
            <v>2.2999999999999998</v>
          </cell>
          <cell r="DN379">
            <v>2.5</v>
          </cell>
          <cell r="DO379">
            <v>2.8</v>
          </cell>
          <cell r="DP379">
            <v>13.6</v>
          </cell>
          <cell r="DQ379">
            <v>15</v>
          </cell>
          <cell r="DR379">
            <v>9.4</v>
          </cell>
          <cell r="DS379">
            <v>10.3</v>
          </cell>
          <cell r="DT379">
            <v>6.4</v>
          </cell>
          <cell r="DU379">
            <v>7</v>
          </cell>
          <cell r="DV379">
            <v>7.7</v>
          </cell>
          <cell r="DW379">
            <v>8.5</v>
          </cell>
          <cell r="DX379">
            <v>9.4</v>
          </cell>
          <cell r="DY379">
            <v>0</v>
          </cell>
          <cell r="DZ379">
            <v>1</v>
          </cell>
          <cell r="EA379">
            <v>0</v>
          </cell>
          <cell r="EB379">
            <v>1</v>
          </cell>
          <cell r="EC379">
            <v>0.4</v>
          </cell>
          <cell r="ED379">
            <v>0.4</v>
          </cell>
          <cell r="EE379">
            <v>0.5</v>
          </cell>
          <cell r="EF379">
            <v>0.5</v>
          </cell>
          <cell r="EG379">
            <v>0.6</v>
          </cell>
        </row>
        <row r="380">
          <cell r="A380" t="str">
            <v>02810530Hispanic/Latino</v>
          </cell>
          <cell r="B380" t="str">
            <v>02810530H</v>
          </cell>
          <cell r="C380" t="str">
            <v>0281</v>
          </cell>
          <cell r="D380" t="str">
            <v>02810530</v>
          </cell>
          <cell r="E380" t="str">
            <v>Springfield</v>
          </cell>
          <cell r="F380" t="str">
            <v>High School/Science-Tech</v>
          </cell>
          <cell r="G380" t="str">
            <v>HS</v>
          </cell>
          <cell r="H380" t="str">
            <v>Springfield - High School/Science-Tech (02810530)</v>
          </cell>
          <cell r="I380" t="str">
            <v>Hispanic/Latino</v>
          </cell>
          <cell r="J380" t="str">
            <v>02810530Hispanic/Latino</v>
          </cell>
          <cell r="K380" t="str">
            <v>--</v>
          </cell>
          <cell r="L380">
            <v>81.900000000000006</v>
          </cell>
          <cell r="M380">
            <v>83.4</v>
          </cell>
          <cell r="N380">
            <v>81.900000000000006</v>
          </cell>
          <cell r="O380">
            <v>84.9</v>
          </cell>
          <cell r="P380">
            <v>84.7</v>
          </cell>
          <cell r="Q380">
            <v>86.4</v>
          </cell>
          <cell r="R380">
            <v>87.9</v>
          </cell>
          <cell r="S380">
            <v>89.4</v>
          </cell>
          <cell r="T380">
            <v>91</v>
          </cell>
          <cell r="U380">
            <v>62.1</v>
          </cell>
          <cell r="V380">
            <v>65.3</v>
          </cell>
          <cell r="W380">
            <v>63.6</v>
          </cell>
          <cell r="X380">
            <v>68.400000000000006</v>
          </cell>
          <cell r="Y380">
            <v>54.6</v>
          </cell>
          <cell r="Z380">
            <v>71.599999999999994</v>
          </cell>
          <cell r="AA380">
            <v>74.7</v>
          </cell>
          <cell r="AB380">
            <v>77.900000000000006</v>
          </cell>
          <cell r="AC380">
            <v>81.099999999999994</v>
          </cell>
          <cell r="AD380">
            <v>51.5</v>
          </cell>
          <cell r="AE380">
            <v>55.5</v>
          </cell>
          <cell r="AF380">
            <v>51.9</v>
          </cell>
          <cell r="AG380">
            <v>59.6</v>
          </cell>
          <cell r="AH380">
            <v>49.5</v>
          </cell>
          <cell r="AI380">
            <v>63.6</v>
          </cell>
          <cell r="AJ380">
            <v>67.7</v>
          </cell>
          <cell r="AK380">
            <v>71.7</v>
          </cell>
          <cell r="AL380">
            <v>75.8</v>
          </cell>
          <cell r="AM380">
            <v>32.200000000000003</v>
          </cell>
          <cell r="AN380">
            <v>34.700000000000003</v>
          </cell>
          <cell r="AO380">
            <v>26.4</v>
          </cell>
          <cell r="AP380">
            <v>28.9</v>
          </cell>
          <cell r="AQ380">
            <v>33.5</v>
          </cell>
          <cell r="AR380">
            <v>36</v>
          </cell>
          <cell r="AS380">
            <v>38.5</v>
          </cell>
          <cell r="AT380">
            <v>41</v>
          </cell>
          <cell r="AU380">
            <v>43.5</v>
          </cell>
          <cell r="AV380">
            <v>38.9</v>
          </cell>
          <cell r="AW380">
            <v>41.4</v>
          </cell>
          <cell r="AX380">
            <v>35.6</v>
          </cell>
          <cell r="AY380">
            <v>38.1</v>
          </cell>
          <cell r="AZ380">
            <v>32.4</v>
          </cell>
          <cell r="BA380">
            <v>34.9</v>
          </cell>
          <cell r="BB380">
            <v>37.4</v>
          </cell>
          <cell r="BC380">
            <v>39.9</v>
          </cell>
          <cell r="BD380">
            <v>42.4</v>
          </cell>
          <cell r="BE380">
            <v>17.2</v>
          </cell>
          <cell r="BF380">
            <v>15.8</v>
          </cell>
          <cell r="BG380">
            <v>19.2</v>
          </cell>
          <cell r="BH380">
            <v>14.3</v>
          </cell>
          <cell r="BI380">
            <v>12.9</v>
          </cell>
          <cell r="BJ380">
            <v>12.9</v>
          </cell>
          <cell r="BK380">
            <v>11.5</v>
          </cell>
          <cell r="BL380">
            <v>10</v>
          </cell>
          <cell r="BM380">
            <v>8.6</v>
          </cell>
          <cell r="BN380">
            <v>35.5</v>
          </cell>
          <cell r="BO380">
            <v>45.5</v>
          </cell>
          <cell r="BP380">
            <v>36.5</v>
          </cell>
          <cell r="BQ380">
            <v>46.5</v>
          </cell>
          <cell r="BR380">
            <v>30</v>
          </cell>
          <cell r="BS380">
            <v>40</v>
          </cell>
          <cell r="BT380">
            <v>50</v>
          </cell>
          <cell r="BU380">
            <v>51</v>
          </cell>
          <cell r="BV380">
            <v>51</v>
          </cell>
          <cell r="BW380">
            <v>42.5</v>
          </cell>
          <cell r="BX380">
            <v>51</v>
          </cell>
          <cell r="BY380">
            <v>40.5</v>
          </cell>
          <cell r="BZ380">
            <v>50.5</v>
          </cell>
          <cell r="CA380">
            <v>17</v>
          </cell>
          <cell r="CB380">
            <v>27</v>
          </cell>
          <cell r="CC380">
            <v>37</v>
          </cell>
          <cell r="CD380">
            <v>47</v>
          </cell>
          <cell r="CE380">
            <v>51</v>
          </cell>
          <cell r="CF380">
            <v>7.1</v>
          </cell>
          <cell r="CG380">
            <v>6.4</v>
          </cell>
          <cell r="CH380">
            <v>6.6</v>
          </cell>
          <cell r="CI380">
            <v>5.9</v>
          </cell>
          <cell r="CJ380">
            <v>7</v>
          </cell>
          <cell r="CK380">
            <v>6.3</v>
          </cell>
          <cell r="CL380">
            <v>5.7</v>
          </cell>
          <cell r="CM380">
            <v>5.0999999999999996</v>
          </cell>
          <cell r="CN380">
            <v>4.5999999999999996</v>
          </cell>
          <cell r="CO380">
            <v>25.8</v>
          </cell>
          <cell r="CP380">
            <v>23.2</v>
          </cell>
          <cell r="CQ380">
            <v>31.6</v>
          </cell>
          <cell r="CR380">
            <v>28.4</v>
          </cell>
          <cell r="CS380">
            <v>39.299999999999997</v>
          </cell>
          <cell r="CT380">
            <v>35.4</v>
          </cell>
          <cell r="CU380">
            <v>31.8</v>
          </cell>
          <cell r="CV380">
            <v>28.6</v>
          </cell>
          <cell r="CW380">
            <v>25.8</v>
          </cell>
          <cell r="CX380">
            <v>27</v>
          </cell>
          <cell r="CY380">
            <v>24.3</v>
          </cell>
          <cell r="CZ380">
            <v>29.5</v>
          </cell>
          <cell r="DA380">
            <v>26.6</v>
          </cell>
          <cell r="DB380">
            <v>32.700000000000003</v>
          </cell>
          <cell r="DC380">
            <v>29.4</v>
          </cell>
          <cell r="DD380">
            <v>26.5</v>
          </cell>
          <cell r="DE380">
            <v>23.8</v>
          </cell>
          <cell r="DF380">
            <v>21.5</v>
          </cell>
          <cell r="DG380">
            <v>3.1</v>
          </cell>
          <cell r="DH380">
            <v>3.4</v>
          </cell>
          <cell r="DI380">
            <v>5.8</v>
          </cell>
          <cell r="DJ380">
            <v>6.4</v>
          </cell>
          <cell r="DK380">
            <v>2</v>
          </cell>
          <cell r="DL380">
            <v>2.2000000000000002</v>
          </cell>
          <cell r="DM380">
            <v>2.4</v>
          </cell>
          <cell r="DN380">
            <v>2.7</v>
          </cell>
          <cell r="DO380">
            <v>2.9</v>
          </cell>
          <cell r="DP380">
            <v>10.3</v>
          </cell>
          <cell r="DQ380">
            <v>11.3</v>
          </cell>
          <cell r="DR380">
            <v>9.6</v>
          </cell>
          <cell r="DS380">
            <v>10.6</v>
          </cell>
          <cell r="DT380">
            <v>6.5</v>
          </cell>
          <cell r="DU380">
            <v>7.2</v>
          </cell>
          <cell r="DV380">
            <v>7.9</v>
          </cell>
          <cell r="DW380">
            <v>8.6999999999999993</v>
          </cell>
          <cell r="DX380">
            <v>9.5</v>
          </cell>
          <cell r="DY380">
            <v>0</v>
          </cell>
          <cell r="DZ380">
            <v>1</v>
          </cell>
          <cell r="EA380">
            <v>0</v>
          </cell>
          <cell r="EB380">
            <v>1</v>
          </cell>
          <cell r="EC380">
            <v>0</v>
          </cell>
          <cell r="ED380">
            <v>1</v>
          </cell>
          <cell r="EE380">
            <v>1.1000000000000001</v>
          </cell>
          <cell r="EF380">
            <v>1.2</v>
          </cell>
          <cell r="EG380">
            <v>1.3</v>
          </cell>
        </row>
        <row r="381">
          <cell r="A381" t="str">
            <v>02810530ELL and Former ELL</v>
          </cell>
          <cell r="B381" t="str">
            <v>02810530L</v>
          </cell>
          <cell r="C381" t="str">
            <v>0281</v>
          </cell>
          <cell r="D381" t="str">
            <v>02810530</v>
          </cell>
          <cell r="E381" t="str">
            <v>Springfield</v>
          </cell>
          <cell r="F381" t="str">
            <v>High School/Science-Tech</v>
          </cell>
          <cell r="G381" t="str">
            <v>HS</v>
          </cell>
          <cell r="H381" t="str">
            <v>Springfield - High School/Science-Tech (02810530)</v>
          </cell>
          <cell r="I381" t="str">
            <v>ELL and Former ELL</v>
          </cell>
          <cell r="J381" t="str">
            <v>02810530ELL and Former ELL</v>
          </cell>
          <cell r="K381" t="str">
            <v>--</v>
          </cell>
          <cell r="L381">
            <v>59.1</v>
          </cell>
          <cell r="M381">
            <v>62.5</v>
          </cell>
          <cell r="N381">
            <v>61.2</v>
          </cell>
          <cell r="O381">
            <v>65.900000000000006</v>
          </cell>
          <cell r="P381">
            <v>63.4</v>
          </cell>
          <cell r="Q381">
            <v>69.3</v>
          </cell>
          <cell r="R381">
            <v>72.7</v>
          </cell>
          <cell r="S381">
            <v>76.099999999999994</v>
          </cell>
          <cell r="T381">
            <v>79.599999999999994</v>
          </cell>
          <cell r="U381">
            <v>50</v>
          </cell>
          <cell r="V381">
            <v>54.2</v>
          </cell>
          <cell r="W381">
            <v>37.5</v>
          </cell>
          <cell r="X381">
            <v>58.3</v>
          </cell>
          <cell r="Y381">
            <v>36.6</v>
          </cell>
          <cell r="Z381">
            <v>62.5</v>
          </cell>
          <cell r="AA381">
            <v>66.7</v>
          </cell>
          <cell r="AB381">
            <v>70.8</v>
          </cell>
          <cell r="AC381">
            <v>75</v>
          </cell>
          <cell r="AD381">
            <v>43.8</v>
          </cell>
          <cell r="AE381">
            <v>48.5</v>
          </cell>
          <cell r="AF381">
            <v>37.5</v>
          </cell>
          <cell r="AG381">
            <v>53.2</v>
          </cell>
          <cell r="AH381">
            <v>36.9</v>
          </cell>
          <cell r="AI381">
            <v>57.9</v>
          </cell>
          <cell r="AJ381">
            <v>62.5</v>
          </cell>
          <cell r="AK381">
            <v>67.2</v>
          </cell>
          <cell r="AL381">
            <v>71.900000000000006</v>
          </cell>
          <cell r="AM381">
            <v>39.1</v>
          </cell>
          <cell r="AN381">
            <v>41.6</v>
          </cell>
          <cell r="AO381">
            <v>16.7</v>
          </cell>
          <cell r="AP381">
            <v>19.2</v>
          </cell>
          <cell r="AQ381">
            <v>16.3</v>
          </cell>
          <cell r="AR381">
            <v>18.8</v>
          </cell>
          <cell r="AS381">
            <v>21.3</v>
          </cell>
          <cell r="AT381">
            <v>23.8</v>
          </cell>
          <cell r="AU381">
            <v>26.3</v>
          </cell>
          <cell r="AV381">
            <v>36.5</v>
          </cell>
          <cell r="AW381">
            <v>39</v>
          </cell>
          <cell r="AX381">
            <v>42.5</v>
          </cell>
          <cell r="AY381">
            <v>45</v>
          </cell>
          <cell r="AZ381">
            <v>16.7</v>
          </cell>
          <cell r="BA381">
            <v>19.2</v>
          </cell>
          <cell r="BB381">
            <v>21.7</v>
          </cell>
          <cell r="BC381">
            <v>24.2</v>
          </cell>
          <cell r="BD381">
            <v>26.7</v>
          </cell>
          <cell r="BE381">
            <v>16.7</v>
          </cell>
          <cell r="BF381">
            <v>15.3</v>
          </cell>
          <cell r="BG381">
            <v>25.6</v>
          </cell>
          <cell r="BH381">
            <v>13.9</v>
          </cell>
          <cell r="BI381">
            <v>15.4</v>
          </cell>
          <cell r="BJ381">
            <v>12.5</v>
          </cell>
          <cell r="BK381">
            <v>11.1</v>
          </cell>
          <cell r="BL381">
            <v>9.6999999999999993</v>
          </cell>
          <cell r="BM381">
            <v>8.4</v>
          </cell>
          <cell r="BN381" t="str">
            <v>--</v>
          </cell>
          <cell r="BO381" t="str">
            <v>--</v>
          </cell>
          <cell r="BP381" t="str">
            <v>--</v>
          </cell>
          <cell r="BQ381" t="str">
            <v>--</v>
          </cell>
          <cell r="BR381" t="str">
            <v>--</v>
          </cell>
          <cell r="BS381" t="str">
            <v>--</v>
          </cell>
          <cell r="BT381" t="str">
            <v>--</v>
          </cell>
          <cell r="BU381" t="str">
            <v>--</v>
          </cell>
          <cell r="BV381" t="str">
            <v>--</v>
          </cell>
          <cell r="BW381" t="str">
            <v>--</v>
          </cell>
          <cell r="BX381" t="str">
            <v>--</v>
          </cell>
          <cell r="BY381" t="str">
            <v>--</v>
          </cell>
          <cell r="BZ381" t="str">
            <v>--</v>
          </cell>
          <cell r="CA381" t="str">
            <v>--</v>
          </cell>
          <cell r="CB381" t="str">
            <v>--</v>
          </cell>
          <cell r="CC381" t="str">
            <v>--</v>
          </cell>
          <cell r="CD381" t="str">
            <v>--</v>
          </cell>
          <cell r="CE381" t="str">
            <v>--</v>
          </cell>
          <cell r="CF381">
            <v>31.8</v>
          </cell>
          <cell r="CG381">
            <v>28.6</v>
          </cell>
          <cell r="CH381">
            <v>6.9</v>
          </cell>
          <cell r="CI381">
            <v>6.2</v>
          </cell>
          <cell r="CJ381">
            <v>17.100000000000001</v>
          </cell>
          <cell r="CK381">
            <v>15.4</v>
          </cell>
          <cell r="CL381">
            <v>13.9</v>
          </cell>
          <cell r="CM381">
            <v>12.5</v>
          </cell>
          <cell r="CN381">
            <v>11.2</v>
          </cell>
          <cell r="CO381">
            <v>42.9</v>
          </cell>
          <cell r="CP381">
            <v>38.6</v>
          </cell>
          <cell r="CQ381">
            <v>78.599999999999994</v>
          </cell>
          <cell r="CR381">
            <v>70.7</v>
          </cell>
          <cell r="CS381">
            <v>74.400000000000006</v>
          </cell>
          <cell r="CT381">
            <v>67</v>
          </cell>
          <cell r="CU381">
            <v>60.3</v>
          </cell>
          <cell r="CV381">
            <v>54.2</v>
          </cell>
          <cell r="CW381">
            <v>48.8</v>
          </cell>
          <cell r="CX381">
            <v>55</v>
          </cell>
          <cell r="CY381">
            <v>49.5</v>
          </cell>
          <cell r="CZ381">
            <v>56.3</v>
          </cell>
          <cell r="DA381">
            <v>49.5</v>
          </cell>
          <cell r="DB381">
            <v>60</v>
          </cell>
          <cell r="DC381">
            <v>54</v>
          </cell>
          <cell r="DD381">
            <v>48.6</v>
          </cell>
          <cell r="DE381">
            <v>43.7</v>
          </cell>
          <cell r="DF381">
            <v>39.4</v>
          </cell>
          <cell r="DG381">
            <v>0</v>
          </cell>
          <cell r="DH381">
            <v>1</v>
          </cell>
          <cell r="DI381">
            <v>0</v>
          </cell>
          <cell r="DJ381">
            <v>1</v>
          </cell>
          <cell r="DK381">
            <v>0</v>
          </cell>
          <cell r="DL381">
            <v>1</v>
          </cell>
          <cell r="DM381">
            <v>1.1000000000000001</v>
          </cell>
          <cell r="DN381">
            <v>1.2</v>
          </cell>
          <cell r="DO381">
            <v>1.3</v>
          </cell>
          <cell r="DP381">
            <v>19</v>
          </cell>
          <cell r="DQ381">
            <v>20.9</v>
          </cell>
          <cell r="DR381">
            <v>0</v>
          </cell>
          <cell r="DS381">
            <v>1</v>
          </cell>
          <cell r="DT381">
            <v>0</v>
          </cell>
          <cell r="DU381">
            <v>1</v>
          </cell>
          <cell r="DV381">
            <v>1.1000000000000001</v>
          </cell>
          <cell r="DW381">
            <v>1.2</v>
          </cell>
          <cell r="DX381">
            <v>1.3</v>
          </cell>
          <cell r="DY381">
            <v>0</v>
          </cell>
          <cell r="DZ381">
            <v>1</v>
          </cell>
          <cell r="EA381">
            <v>0</v>
          </cell>
          <cell r="EB381">
            <v>1</v>
          </cell>
          <cell r="EC381">
            <v>0</v>
          </cell>
          <cell r="ED381">
            <v>1</v>
          </cell>
          <cell r="EE381">
            <v>1.1000000000000001</v>
          </cell>
          <cell r="EF381">
            <v>1.2</v>
          </cell>
          <cell r="EG381">
            <v>1.3</v>
          </cell>
        </row>
        <row r="382">
          <cell r="A382" t="str">
            <v>02810530Multi-race, Non-Hisp./Lat.</v>
          </cell>
          <cell r="B382" t="str">
            <v>02810530M</v>
          </cell>
          <cell r="C382" t="str">
            <v>0281</v>
          </cell>
          <cell r="D382" t="str">
            <v>02810530</v>
          </cell>
          <cell r="E382" t="str">
            <v>Springfield</v>
          </cell>
          <cell r="F382" t="str">
            <v>High School/Science-Tech</v>
          </cell>
          <cell r="G382" t="str">
            <v>HS</v>
          </cell>
          <cell r="H382" t="str">
            <v>Springfield - High School/Science-Tech (02810530)</v>
          </cell>
          <cell r="I382" t="str">
            <v>Multi-race, Non-Hisp./Lat.</v>
          </cell>
          <cell r="J382" t="str">
            <v>02810530Multi-race, Non-Hisp./Lat.</v>
          </cell>
          <cell r="K382" t="str">
            <v>Level 3</v>
          </cell>
          <cell r="L382" t="str">
            <v>--</v>
          </cell>
          <cell r="M382" t="str">
            <v>--</v>
          </cell>
          <cell r="N382" t="str">
            <v>--</v>
          </cell>
          <cell r="O382" t="str">
            <v>--</v>
          </cell>
          <cell r="P382" t="str">
            <v>--</v>
          </cell>
          <cell r="Q382" t="str">
            <v>--</v>
          </cell>
          <cell r="R382" t="str">
            <v>--</v>
          </cell>
          <cell r="S382" t="str">
            <v>--</v>
          </cell>
          <cell r="T382" t="str">
            <v>--</v>
          </cell>
          <cell r="U382" t="str">
            <v>--</v>
          </cell>
          <cell r="V382" t="str">
            <v>--</v>
          </cell>
          <cell r="W382" t="str">
            <v>--</v>
          </cell>
          <cell r="X382" t="str">
            <v>--</v>
          </cell>
          <cell r="Y382" t="str">
            <v>--</v>
          </cell>
          <cell r="Z382" t="str">
            <v>--</v>
          </cell>
          <cell r="AA382" t="str">
            <v>--</v>
          </cell>
          <cell r="AB382" t="str">
            <v>--</v>
          </cell>
          <cell r="AC382" t="str">
            <v>--</v>
          </cell>
          <cell r="AD382" t="str">
            <v>--</v>
          </cell>
          <cell r="AE382" t="str">
            <v>--</v>
          </cell>
          <cell r="AF382" t="str">
            <v>--</v>
          </cell>
          <cell r="AG382" t="str">
            <v>--</v>
          </cell>
          <cell r="AH382" t="str">
            <v>--</v>
          </cell>
          <cell r="AI382" t="str">
            <v>--</v>
          </cell>
          <cell r="AJ382" t="str">
            <v>--</v>
          </cell>
          <cell r="AK382" t="str">
            <v>--</v>
          </cell>
          <cell r="AL382" t="str">
            <v>--</v>
          </cell>
          <cell r="AM382" t="str">
            <v>--</v>
          </cell>
          <cell r="AN382" t="str">
            <v>--</v>
          </cell>
          <cell r="AO382" t="str">
            <v>--</v>
          </cell>
          <cell r="AP382" t="str">
            <v>--</v>
          </cell>
          <cell r="AQ382" t="str">
            <v>--</v>
          </cell>
          <cell r="AR382" t="str">
            <v>--</v>
          </cell>
          <cell r="AS382" t="str">
            <v>--</v>
          </cell>
          <cell r="AT382" t="str">
            <v>--</v>
          </cell>
          <cell r="AU382" t="str">
            <v>--</v>
          </cell>
          <cell r="AV382" t="str">
            <v>--</v>
          </cell>
          <cell r="AW382" t="str">
            <v>--</v>
          </cell>
          <cell r="AX382" t="str">
            <v>--</v>
          </cell>
          <cell r="AY382" t="str">
            <v>--</v>
          </cell>
          <cell r="AZ382" t="str">
            <v>--</v>
          </cell>
          <cell r="BA382" t="str">
            <v>--</v>
          </cell>
          <cell r="BB382" t="str">
            <v>--</v>
          </cell>
          <cell r="BC382" t="str">
            <v>--</v>
          </cell>
          <cell r="BD382" t="str">
            <v>--</v>
          </cell>
          <cell r="BE382">
            <v>12.2</v>
          </cell>
          <cell r="BF382">
            <v>11.2</v>
          </cell>
          <cell r="BG382">
            <v>0</v>
          </cell>
          <cell r="BH382">
            <v>10.199999999999999</v>
          </cell>
          <cell r="BI382">
            <v>2.9</v>
          </cell>
          <cell r="BJ382">
            <v>9.1999999999999993</v>
          </cell>
          <cell r="BK382">
            <v>8.1</v>
          </cell>
          <cell r="BL382">
            <v>7.1</v>
          </cell>
          <cell r="BM382">
            <v>6.1</v>
          </cell>
          <cell r="BN382" t="str">
            <v>--</v>
          </cell>
          <cell r="BO382" t="str">
            <v>--</v>
          </cell>
          <cell r="BP382" t="str">
            <v>--</v>
          </cell>
          <cell r="BQ382" t="str">
            <v>--</v>
          </cell>
          <cell r="BR382" t="str">
            <v>--</v>
          </cell>
          <cell r="BS382" t="str">
            <v>--</v>
          </cell>
          <cell r="BT382" t="str">
            <v>--</v>
          </cell>
          <cell r="BU382" t="str">
            <v>--</v>
          </cell>
          <cell r="BV382" t="str">
            <v>--</v>
          </cell>
          <cell r="BW382" t="str">
            <v>--</v>
          </cell>
          <cell r="BX382" t="str">
            <v>--</v>
          </cell>
          <cell r="BY382" t="str">
            <v>--</v>
          </cell>
          <cell r="BZ382" t="str">
            <v>--</v>
          </cell>
          <cell r="CA382" t="str">
            <v>--</v>
          </cell>
          <cell r="CB382" t="str">
            <v>--</v>
          </cell>
          <cell r="CC382" t="str">
            <v>--</v>
          </cell>
          <cell r="CD382" t="str">
            <v>--</v>
          </cell>
          <cell r="CE382" t="str">
            <v>--</v>
          </cell>
          <cell r="CF382" t="str">
            <v>--</v>
          </cell>
          <cell r="CG382" t="str">
            <v>--</v>
          </cell>
          <cell r="CH382" t="str">
            <v>--</v>
          </cell>
          <cell r="CI382" t="str">
            <v>--</v>
          </cell>
          <cell r="CJ382" t="str">
            <v>--</v>
          </cell>
          <cell r="CK382" t="str">
            <v>--</v>
          </cell>
          <cell r="CL382" t="str">
            <v>--</v>
          </cell>
          <cell r="CM382" t="str">
            <v>--</v>
          </cell>
          <cell r="CN382" t="str">
            <v>--</v>
          </cell>
          <cell r="CO382" t="str">
            <v>--</v>
          </cell>
          <cell r="CP382" t="str">
            <v>--</v>
          </cell>
          <cell r="CQ382" t="str">
            <v>--</v>
          </cell>
          <cell r="CR382" t="str">
            <v>--</v>
          </cell>
          <cell r="CS382" t="str">
            <v>--</v>
          </cell>
          <cell r="CT382" t="str">
            <v>--</v>
          </cell>
          <cell r="CU382" t="str">
            <v>--</v>
          </cell>
          <cell r="CV382" t="str">
            <v>--</v>
          </cell>
          <cell r="CW382" t="str">
            <v>--</v>
          </cell>
          <cell r="CX382" t="str">
            <v>--</v>
          </cell>
          <cell r="CY382" t="str">
            <v>--</v>
          </cell>
          <cell r="CZ382" t="str">
            <v>--</v>
          </cell>
          <cell r="DA382" t="str">
            <v>--</v>
          </cell>
          <cell r="DB382" t="str">
            <v>--</v>
          </cell>
          <cell r="DC382" t="str">
            <v>--</v>
          </cell>
          <cell r="DD382" t="str">
            <v>--</v>
          </cell>
          <cell r="DE382" t="str">
            <v>--</v>
          </cell>
          <cell r="DF382" t="str">
            <v>--</v>
          </cell>
          <cell r="DG382" t="str">
            <v>--</v>
          </cell>
          <cell r="DH382" t="str">
            <v>--</v>
          </cell>
          <cell r="DI382" t="str">
            <v>--</v>
          </cell>
          <cell r="DJ382" t="str">
            <v>--</v>
          </cell>
          <cell r="DK382" t="str">
            <v>--</v>
          </cell>
          <cell r="DL382" t="str">
            <v>--</v>
          </cell>
          <cell r="DM382" t="str">
            <v>--</v>
          </cell>
          <cell r="DN382" t="str">
            <v>--</v>
          </cell>
          <cell r="DO382" t="str">
            <v>--</v>
          </cell>
          <cell r="DP382" t="str">
            <v>--</v>
          </cell>
          <cell r="DQ382" t="str">
            <v>--</v>
          </cell>
          <cell r="DR382" t="str">
            <v>--</v>
          </cell>
          <cell r="DS382" t="str">
            <v>--</v>
          </cell>
          <cell r="DT382" t="str">
            <v>--</v>
          </cell>
          <cell r="DU382" t="str">
            <v>--</v>
          </cell>
          <cell r="DV382" t="str">
            <v>--</v>
          </cell>
          <cell r="DW382" t="str">
            <v>--</v>
          </cell>
          <cell r="DX382" t="str">
            <v>--</v>
          </cell>
          <cell r="DY382" t="str">
            <v>--</v>
          </cell>
          <cell r="DZ382" t="str">
            <v>--</v>
          </cell>
          <cell r="EA382" t="str">
            <v>--</v>
          </cell>
          <cell r="EB382" t="str">
            <v>--</v>
          </cell>
          <cell r="EC382" t="str">
            <v>--</v>
          </cell>
          <cell r="ED382" t="str">
            <v>--</v>
          </cell>
          <cell r="EE382" t="str">
            <v>--</v>
          </cell>
          <cell r="EF382" t="str">
            <v>--</v>
          </cell>
          <cell r="EG382" t="str">
            <v>--</v>
          </cell>
        </row>
        <row r="383">
          <cell r="A383" t="str">
            <v>02810530Amer. Ind. or Alaska Nat.</v>
          </cell>
          <cell r="B383" t="str">
            <v>02810530N</v>
          </cell>
          <cell r="C383" t="str">
            <v>0281</v>
          </cell>
          <cell r="D383" t="str">
            <v>02810530</v>
          </cell>
          <cell r="E383" t="str">
            <v>Springfield</v>
          </cell>
          <cell r="F383" t="str">
            <v>High School/Science-Tech</v>
          </cell>
          <cell r="G383" t="str">
            <v>HS</v>
          </cell>
          <cell r="H383" t="str">
            <v>Springfield - High School/Science-Tech (02810530)</v>
          </cell>
          <cell r="I383" t="str">
            <v>Amer. Ind. or Alaska Nat.</v>
          </cell>
          <cell r="J383" t="str">
            <v>02810530Amer. Ind. or Alaska Nat.</v>
          </cell>
          <cell r="K383" t="str">
            <v>--</v>
          </cell>
          <cell r="L383" t="str">
            <v>--</v>
          </cell>
          <cell r="M383" t="str">
            <v>--</v>
          </cell>
          <cell r="N383" t="str">
            <v>--</v>
          </cell>
          <cell r="O383" t="str">
            <v>--</v>
          </cell>
          <cell r="P383" t="str">
            <v>--</v>
          </cell>
          <cell r="Q383" t="str">
            <v>--</v>
          </cell>
          <cell r="R383" t="str">
            <v>--</v>
          </cell>
          <cell r="S383" t="str">
            <v>--</v>
          </cell>
          <cell r="T383" t="str">
            <v>--</v>
          </cell>
          <cell r="U383" t="str">
            <v>--</v>
          </cell>
          <cell r="V383" t="str">
            <v>--</v>
          </cell>
          <cell r="W383" t="str">
            <v>--</v>
          </cell>
          <cell r="X383" t="str">
            <v>--</v>
          </cell>
          <cell r="Y383" t="str">
            <v>--</v>
          </cell>
          <cell r="Z383" t="str">
            <v>--</v>
          </cell>
          <cell r="AA383" t="str">
            <v>--</v>
          </cell>
          <cell r="AB383" t="str">
            <v>--</v>
          </cell>
          <cell r="AC383" t="str">
            <v>--</v>
          </cell>
          <cell r="AD383" t="str">
            <v>--</v>
          </cell>
          <cell r="AE383" t="str">
            <v>--</v>
          </cell>
          <cell r="AF383" t="str">
            <v>--</v>
          </cell>
          <cell r="AG383" t="str">
            <v>--</v>
          </cell>
          <cell r="AH383" t="str">
            <v>--</v>
          </cell>
          <cell r="AI383" t="str">
            <v>--</v>
          </cell>
          <cell r="AJ383" t="str">
            <v>--</v>
          </cell>
          <cell r="AK383" t="str">
            <v>--</v>
          </cell>
          <cell r="AL383" t="str">
            <v>--</v>
          </cell>
          <cell r="AM383" t="str">
            <v>--</v>
          </cell>
          <cell r="AN383" t="str">
            <v>--</v>
          </cell>
          <cell r="AO383" t="str">
            <v>--</v>
          </cell>
          <cell r="AP383" t="str">
            <v>--</v>
          </cell>
          <cell r="AQ383" t="str">
            <v>--</v>
          </cell>
          <cell r="AR383" t="str">
            <v>--</v>
          </cell>
          <cell r="AS383" t="str">
            <v>--</v>
          </cell>
          <cell r="AT383" t="str">
            <v>--</v>
          </cell>
          <cell r="AU383" t="str">
            <v>--</v>
          </cell>
          <cell r="AV383" t="str">
            <v>--</v>
          </cell>
          <cell r="AW383" t="str">
            <v>--</v>
          </cell>
          <cell r="AX383" t="str">
            <v>--</v>
          </cell>
          <cell r="AY383" t="str">
            <v>--</v>
          </cell>
          <cell r="AZ383" t="str">
            <v>--</v>
          </cell>
          <cell r="BA383" t="str">
            <v>--</v>
          </cell>
          <cell r="BB383" t="str">
            <v>--</v>
          </cell>
          <cell r="BC383" t="str">
            <v>--</v>
          </cell>
          <cell r="BD383" t="str">
            <v>--</v>
          </cell>
          <cell r="BE383" t="str">
            <v>--</v>
          </cell>
          <cell r="BF383" t="str">
            <v>--</v>
          </cell>
          <cell r="BG383" t="str">
            <v>--</v>
          </cell>
          <cell r="BH383" t="str">
            <v>--</v>
          </cell>
          <cell r="BI383" t="str">
            <v>--</v>
          </cell>
          <cell r="BJ383" t="str">
            <v>--</v>
          </cell>
          <cell r="BK383" t="str">
            <v>--</v>
          </cell>
          <cell r="BL383" t="str">
            <v>--</v>
          </cell>
          <cell r="BM383" t="str">
            <v>--</v>
          </cell>
          <cell r="BN383" t="str">
            <v>--</v>
          </cell>
          <cell r="BO383" t="str">
            <v>--</v>
          </cell>
          <cell r="BP383" t="str">
            <v>--</v>
          </cell>
          <cell r="BQ383" t="str">
            <v>--</v>
          </cell>
          <cell r="BR383" t="str">
            <v>--</v>
          </cell>
          <cell r="BS383" t="str">
            <v>--</v>
          </cell>
          <cell r="BT383" t="str">
            <v>--</v>
          </cell>
          <cell r="BU383" t="str">
            <v>--</v>
          </cell>
          <cell r="BV383" t="str">
            <v>--</v>
          </cell>
          <cell r="BW383" t="str">
            <v>--</v>
          </cell>
          <cell r="BX383" t="str">
            <v>--</v>
          </cell>
          <cell r="BY383" t="str">
            <v>--</v>
          </cell>
          <cell r="BZ383" t="str">
            <v>--</v>
          </cell>
          <cell r="CA383" t="str">
            <v>--</v>
          </cell>
          <cell r="CB383" t="str">
            <v>--</v>
          </cell>
          <cell r="CC383" t="str">
            <v>--</v>
          </cell>
          <cell r="CD383" t="str">
            <v>--</v>
          </cell>
          <cell r="CE383" t="str">
            <v>--</v>
          </cell>
          <cell r="CF383" t="str">
            <v>--</v>
          </cell>
          <cell r="CG383" t="str">
            <v>--</v>
          </cell>
          <cell r="CH383" t="str">
            <v>--</v>
          </cell>
          <cell r="CI383" t="str">
            <v>--</v>
          </cell>
          <cell r="CJ383" t="str">
            <v>--</v>
          </cell>
          <cell r="CK383" t="str">
            <v>--</v>
          </cell>
          <cell r="CL383" t="str">
            <v>--</v>
          </cell>
          <cell r="CM383" t="str">
            <v>--</v>
          </cell>
          <cell r="CN383" t="str">
            <v>--</v>
          </cell>
          <cell r="CO383" t="str">
            <v>--</v>
          </cell>
          <cell r="CP383" t="str">
            <v>--</v>
          </cell>
          <cell r="CQ383" t="str">
            <v>--</v>
          </cell>
          <cell r="CR383" t="str">
            <v>--</v>
          </cell>
          <cell r="CS383" t="str">
            <v>--</v>
          </cell>
          <cell r="CT383" t="str">
            <v>--</v>
          </cell>
          <cell r="CU383" t="str">
            <v>--</v>
          </cell>
          <cell r="CV383" t="str">
            <v>--</v>
          </cell>
          <cell r="CW383" t="str">
            <v>--</v>
          </cell>
          <cell r="CX383" t="str">
            <v>--</v>
          </cell>
          <cell r="CY383" t="str">
            <v>--</v>
          </cell>
          <cell r="CZ383" t="str">
            <v>--</v>
          </cell>
          <cell r="DA383" t="str">
            <v>--</v>
          </cell>
          <cell r="DB383" t="str">
            <v>--</v>
          </cell>
          <cell r="DC383" t="str">
            <v>--</v>
          </cell>
          <cell r="DD383" t="str">
            <v>--</v>
          </cell>
          <cell r="DE383" t="str">
            <v>--</v>
          </cell>
          <cell r="DF383" t="str">
            <v>--</v>
          </cell>
          <cell r="DG383" t="str">
            <v>--</v>
          </cell>
          <cell r="DH383" t="str">
            <v>--</v>
          </cell>
          <cell r="DI383" t="str">
            <v>--</v>
          </cell>
          <cell r="DJ383" t="str">
            <v>--</v>
          </cell>
          <cell r="DK383" t="str">
            <v>--</v>
          </cell>
          <cell r="DL383" t="str">
            <v>--</v>
          </cell>
          <cell r="DM383" t="str">
            <v>--</v>
          </cell>
          <cell r="DN383" t="str">
            <v>--</v>
          </cell>
          <cell r="DO383" t="str">
            <v>--</v>
          </cell>
          <cell r="DP383" t="str">
            <v>--</v>
          </cell>
          <cell r="DQ383" t="str">
            <v>--</v>
          </cell>
          <cell r="DR383" t="str">
            <v>--</v>
          </cell>
          <cell r="DS383" t="str">
            <v>--</v>
          </cell>
          <cell r="DT383" t="str">
            <v>--</v>
          </cell>
          <cell r="DU383" t="str">
            <v>--</v>
          </cell>
          <cell r="DV383" t="str">
            <v>--</v>
          </cell>
          <cell r="DW383" t="str">
            <v>--</v>
          </cell>
          <cell r="DX383" t="str">
            <v>--</v>
          </cell>
          <cell r="DY383" t="str">
            <v>--</v>
          </cell>
          <cell r="DZ383" t="str">
            <v>--</v>
          </cell>
          <cell r="EA383" t="str">
            <v>--</v>
          </cell>
          <cell r="EB383" t="str">
            <v>--</v>
          </cell>
          <cell r="EC383" t="str">
            <v>--</v>
          </cell>
          <cell r="ED383" t="str">
            <v>--</v>
          </cell>
          <cell r="EE383" t="str">
            <v>--</v>
          </cell>
          <cell r="EF383" t="str">
            <v>--</v>
          </cell>
          <cell r="EG383" t="str">
            <v>--</v>
          </cell>
        </row>
        <row r="384">
          <cell r="A384" t="str">
            <v>02810530Nat. Haw. or Pacif. Isl.</v>
          </cell>
          <cell r="B384" t="str">
            <v>02810530P</v>
          </cell>
          <cell r="C384" t="str">
            <v>0281</v>
          </cell>
          <cell r="D384" t="str">
            <v>02810530</v>
          </cell>
          <cell r="E384" t="str">
            <v>Springfield</v>
          </cell>
          <cell r="F384" t="str">
            <v>High School/Science-Tech</v>
          </cell>
          <cell r="G384" t="str">
            <v>HS</v>
          </cell>
          <cell r="H384" t="str">
            <v>Springfield - High School/Science-Tech (02810530)</v>
          </cell>
          <cell r="I384" t="str">
            <v>Nat. Haw. or Pacif. Isl.</v>
          </cell>
          <cell r="J384" t="str">
            <v>02810530Nat. Haw. or Pacif. Isl.</v>
          </cell>
          <cell r="K384" t="str">
            <v>Level 3</v>
          </cell>
          <cell r="L384" t="str">
            <v>--</v>
          </cell>
          <cell r="M384" t="str">
            <v>--</v>
          </cell>
          <cell r="N384" t="str">
            <v>--</v>
          </cell>
          <cell r="O384" t="str">
            <v>--</v>
          </cell>
          <cell r="P384" t="str">
            <v>--</v>
          </cell>
          <cell r="Q384" t="str">
            <v>--</v>
          </cell>
          <cell r="R384" t="str">
            <v>--</v>
          </cell>
          <cell r="S384" t="str">
            <v>--</v>
          </cell>
          <cell r="T384" t="str">
            <v>--</v>
          </cell>
          <cell r="U384" t="str">
            <v>--</v>
          </cell>
          <cell r="V384" t="str">
            <v>--</v>
          </cell>
          <cell r="W384" t="str">
            <v>--</v>
          </cell>
          <cell r="X384" t="str">
            <v>--</v>
          </cell>
          <cell r="Y384" t="str">
            <v>--</v>
          </cell>
          <cell r="Z384" t="str">
            <v>--</v>
          </cell>
          <cell r="AA384" t="str">
            <v>--</v>
          </cell>
          <cell r="AB384" t="str">
            <v>--</v>
          </cell>
          <cell r="AC384" t="str">
            <v>--</v>
          </cell>
          <cell r="AD384" t="str">
            <v>--</v>
          </cell>
          <cell r="AE384" t="str">
            <v>--</v>
          </cell>
          <cell r="AF384" t="str">
            <v>--</v>
          </cell>
          <cell r="AG384" t="str">
            <v>--</v>
          </cell>
          <cell r="AH384" t="str">
            <v>--</v>
          </cell>
          <cell r="AI384" t="str">
            <v>--</v>
          </cell>
          <cell r="AJ384" t="str">
            <v>--</v>
          </cell>
          <cell r="AK384" t="str">
            <v>--</v>
          </cell>
          <cell r="AL384" t="str">
            <v>--</v>
          </cell>
          <cell r="AM384" t="str">
            <v>--</v>
          </cell>
          <cell r="AN384" t="str">
            <v>--</v>
          </cell>
          <cell r="AO384" t="str">
            <v>--</v>
          </cell>
          <cell r="AP384" t="str">
            <v>--</v>
          </cell>
          <cell r="AQ384" t="str">
            <v>--</v>
          </cell>
          <cell r="AR384" t="str">
            <v>--</v>
          </cell>
          <cell r="AS384" t="str">
            <v>--</v>
          </cell>
          <cell r="AT384" t="str">
            <v>--</v>
          </cell>
          <cell r="AU384" t="str">
            <v>--</v>
          </cell>
          <cell r="AV384" t="str">
            <v>--</v>
          </cell>
          <cell r="AW384" t="str">
            <v>--</v>
          </cell>
          <cell r="AX384" t="str">
            <v>--</v>
          </cell>
          <cell r="AY384" t="str">
            <v>--</v>
          </cell>
          <cell r="AZ384" t="str">
            <v>--</v>
          </cell>
          <cell r="BA384" t="str">
            <v>--</v>
          </cell>
          <cell r="BB384" t="str">
            <v>--</v>
          </cell>
          <cell r="BC384" t="str">
            <v>--</v>
          </cell>
          <cell r="BD384" t="str">
            <v>--</v>
          </cell>
          <cell r="BE384" t="str">
            <v>--</v>
          </cell>
          <cell r="BF384" t="str">
            <v>--</v>
          </cell>
          <cell r="BG384" t="str">
            <v>--</v>
          </cell>
          <cell r="BH384" t="str">
            <v>--</v>
          </cell>
          <cell r="BI384" t="str">
            <v>--</v>
          </cell>
          <cell r="BJ384" t="str">
            <v>--</v>
          </cell>
          <cell r="BK384" t="str">
            <v>--</v>
          </cell>
          <cell r="BL384" t="str">
            <v>--</v>
          </cell>
          <cell r="BM384" t="str">
            <v>--</v>
          </cell>
          <cell r="BN384" t="str">
            <v>--</v>
          </cell>
          <cell r="BO384" t="str">
            <v>--</v>
          </cell>
          <cell r="BP384" t="str">
            <v>--</v>
          </cell>
          <cell r="BQ384" t="str">
            <v>--</v>
          </cell>
          <cell r="BR384" t="str">
            <v>--</v>
          </cell>
          <cell r="BS384" t="str">
            <v>--</v>
          </cell>
          <cell r="BT384" t="str">
            <v>--</v>
          </cell>
          <cell r="BU384" t="str">
            <v>--</v>
          </cell>
          <cell r="BV384" t="str">
            <v>--</v>
          </cell>
          <cell r="BW384" t="str">
            <v>--</v>
          </cell>
          <cell r="BX384" t="str">
            <v>--</v>
          </cell>
          <cell r="BY384" t="str">
            <v>--</v>
          </cell>
          <cell r="BZ384" t="str">
            <v>--</v>
          </cell>
          <cell r="CA384" t="str">
            <v>--</v>
          </cell>
          <cell r="CB384" t="str">
            <v>--</v>
          </cell>
          <cell r="CC384" t="str">
            <v>--</v>
          </cell>
          <cell r="CD384" t="str">
            <v>--</v>
          </cell>
          <cell r="CE384" t="str">
            <v>--</v>
          </cell>
          <cell r="CF384" t="str">
            <v>--</v>
          </cell>
          <cell r="CG384" t="str">
            <v>--</v>
          </cell>
          <cell r="CH384" t="str">
            <v>--</v>
          </cell>
          <cell r="CI384" t="str">
            <v>--</v>
          </cell>
          <cell r="CJ384" t="str">
            <v>--</v>
          </cell>
          <cell r="CK384" t="str">
            <v>--</v>
          </cell>
          <cell r="CL384" t="str">
            <v>--</v>
          </cell>
          <cell r="CM384" t="str">
            <v>--</v>
          </cell>
          <cell r="CN384" t="str">
            <v>--</v>
          </cell>
          <cell r="CO384" t="str">
            <v>--</v>
          </cell>
          <cell r="CP384" t="str">
            <v>--</v>
          </cell>
          <cell r="CQ384" t="str">
            <v>--</v>
          </cell>
          <cell r="CR384" t="str">
            <v>--</v>
          </cell>
          <cell r="CS384" t="str">
            <v>--</v>
          </cell>
          <cell r="CT384" t="str">
            <v>--</v>
          </cell>
          <cell r="CU384" t="str">
            <v>--</v>
          </cell>
          <cell r="CV384" t="str">
            <v>--</v>
          </cell>
          <cell r="CW384" t="str">
            <v>--</v>
          </cell>
          <cell r="CX384" t="str">
            <v>--</v>
          </cell>
          <cell r="CY384" t="str">
            <v>--</v>
          </cell>
          <cell r="CZ384" t="str">
            <v>--</v>
          </cell>
          <cell r="DA384" t="str">
            <v>--</v>
          </cell>
          <cell r="DB384" t="str">
            <v>--</v>
          </cell>
          <cell r="DC384" t="str">
            <v>--</v>
          </cell>
          <cell r="DD384" t="str">
            <v>--</v>
          </cell>
          <cell r="DE384" t="str">
            <v>--</v>
          </cell>
          <cell r="DF384" t="str">
            <v>--</v>
          </cell>
          <cell r="DG384" t="str">
            <v>--</v>
          </cell>
          <cell r="DH384" t="str">
            <v>--</v>
          </cell>
          <cell r="DI384" t="str">
            <v>--</v>
          </cell>
          <cell r="DJ384" t="str">
            <v>--</v>
          </cell>
          <cell r="DK384" t="str">
            <v>--</v>
          </cell>
          <cell r="DL384" t="str">
            <v>--</v>
          </cell>
          <cell r="DM384" t="str">
            <v>--</v>
          </cell>
          <cell r="DN384" t="str">
            <v>--</v>
          </cell>
          <cell r="DO384" t="str">
            <v>--</v>
          </cell>
          <cell r="DP384" t="str">
            <v>--</v>
          </cell>
          <cell r="DQ384" t="str">
            <v>--</v>
          </cell>
          <cell r="DR384" t="str">
            <v>--</v>
          </cell>
          <cell r="DS384" t="str">
            <v>--</v>
          </cell>
          <cell r="DT384" t="str">
            <v>--</v>
          </cell>
          <cell r="DU384" t="str">
            <v>--</v>
          </cell>
          <cell r="DV384" t="str">
            <v>--</v>
          </cell>
          <cell r="DW384" t="str">
            <v>--</v>
          </cell>
          <cell r="DX384" t="str">
            <v>--</v>
          </cell>
          <cell r="DY384" t="str">
            <v>--</v>
          </cell>
          <cell r="DZ384" t="str">
            <v>--</v>
          </cell>
          <cell r="EA384" t="str">
            <v>--</v>
          </cell>
          <cell r="EB384" t="str">
            <v>--</v>
          </cell>
          <cell r="EC384" t="str">
            <v>--</v>
          </cell>
          <cell r="ED384" t="str">
            <v>--</v>
          </cell>
          <cell r="EE384" t="str">
            <v>--</v>
          </cell>
          <cell r="EF384" t="str">
            <v>--</v>
          </cell>
          <cell r="EG384" t="str">
            <v>--</v>
          </cell>
        </row>
        <row r="385">
          <cell r="A385" t="str">
            <v>02810530High needs</v>
          </cell>
          <cell r="B385" t="str">
            <v>02810530S</v>
          </cell>
          <cell r="C385" t="str">
            <v>0281</v>
          </cell>
          <cell r="D385" t="str">
            <v>02810530</v>
          </cell>
          <cell r="E385" t="str">
            <v>Springfield</v>
          </cell>
          <cell r="F385" t="str">
            <v>High School/Science-Tech</v>
          </cell>
          <cell r="G385" t="str">
            <v>HS</v>
          </cell>
          <cell r="H385" t="str">
            <v>Springfield - High School/Science-Tech (02810530)</v>
          </cell>
          <cell r="I385" t="str">
            <v>High needs</v>
          </cell>
          <cell r="J385" t="str">
            <v>02810530High needs</v>
          </cell>
          <cell r="K385" t="str">
            <v>Level 3</v>
          </cell>
          <cell r="L385">
            <v>81.099999999999994</v>
          </cell>
          <cell r="M385">
            <v>82.7</v>
          </cell>
          <cell r="N385">
            <v>83</v>
          </cell>
          <cell r="O385">
            <v>84.3</v>
          </cell>
          <cell r="P385">
            <v>85.7</v>
          </cell>
          <cell r="Q385">
            <v>85.8</v>
          </cell>
          <cell r="R385">
            <v>87.4</v>
          </cell>
          <cell r="S385">
            <v>89</v>
          </cell>
          <cell r="T385">
            <v>90.6</v>
          </cell>
          <cell r="U385">
            <v>64.2</v>
          </cell>
          <cell r="V385">
            <v>67.2</v>
          </cell>
          <cell r="W385">
            <v>62.2</v>
          </cell>
          <cell r="X385">
            <v>70.2</v>
          </cell>
          <cell r="Y385">
            <v>55.5</v>
          </cell>
          <cell r="Z385">
            <v>73.2</v>
          </cell>
          <cell r="AA385">
            <v>76.099999999999994</v>
          </cell>
          <cell r="AB385">
            <v>79.099999999999994</v>
          </cell>
          <cell r="AC385">
            <v>82.1</v>
          </cell>
          <cell r="AD385">
            <v>54</v>
          </cell>
          <cell r="AE385">
            <v>57.8</v>
          </cell>
          <cell r="AF385">
            <v>53.1</v>
          </cell>
          <cell r="AG385">
            <v>61.7</v>
          </cell>
          <cell r="AH385">
            <v>51</v>
          </cell>
          <cell r="AI385">
            <v>65.5</v>
          </cell>
          <cell r="AJ385">
            <v>69.3</v>
          </cell>
          <cell r="AK385">
            <v>73.2</v>
          </cell>
          <cell r="AL385">
            <v>77</v>
          </cell>
          <cell r="AM385">
            <v>38.1</v>
          </cell>
          <cell r="AN385">
            <v>40.6</v>
          </cell>
          <cell r="AO385">
            <v>33.9</v>
          </cell>
          <cell r="AP385">
            <v>36.4</v>
          </cell>
          <cell r="AQ385">
            <v>38.200000000000003</v>
          </cell>
          <cell r="AR385">
            <v>40.700000000000003</v>
          </cell>
          <cell r="AS385">
            <v>43.2</v>
          </cell>
          <cell r="AT385">
            <v>45.7</v>
          </cell>
          <cell r="AU385">
            <v>48.2</v>
          </cell>
          <cell r="AV385">
            <v>48.4</v>
          </cell>
          <cell r="AW385">
            <v>50.9</v>
          </cell>
          <cell r="AX385">
            <v>41.4</v>
          </cell>
          <cell r="AY385">
            <v>43.9</v>
          </cell>
          <cell r="AZ385">
            <v>39.9</v>
          </cell>
          <cell r="BA385">
            <v>42.4</v>
          </cell>
          <cell r="BB385">
            <v>44.9</v>
          </cell>
          <cell r="BC385">
            <v>47.4</v>
          </cell>
          <cell r="BD385">
            <v>49.9</v>
          </cell>
          <cell r="BE385">
            <v>15.1</v>
          </cell>
          <cell r="BF385">
            <v>13.8</v>
          </cell>
          <cell r="BG385">
            <v>16.5</v>
          </cell>
          <cell r="BH385">
            <v>12.6</v>
          </cell>
          <cell r="BI385">
            <v>11.6</v>
          </cell>
          <cell r="BJ385">
            <v>11.3</v>
          </cell>
          <cell r="BK385">
            <v>10.1</v>
          </cell>
          <cell r="BL385">
            <v>8.8000000000000007</v>
          </cell>
          <cell r="BM385">
            <v>7.6</v>
          </cell>
          <cell r="BN385">
            <v>38</v>
          </cell>
          <cell r="BO385">
            <v>48</v>
          </cell>
          <cell r="BP385">
            <v>31.5</v>
          </cell>
          <cell r="BQ385">
            <v>41.5</v>
          </cell>
          <cell r="BR385">
            <v>29</v>
          </cell>
          <cell r="BS385">
            <v>39</v>
          </cell>
          <cell r="BT385">
            <v>49</v>
          </cell>
          <cell r="BU385">
            <v>51</v>
          </cell>
          <cell r="BV385">
            <v>51</v>
          </cell>
          <cell r="BW385">
            <v>43</v>
          </cell>
          <cell r="BX385">
            <v>51</v>
          </cell>
          <cell r="BY385">
            <v>35</v>
          </cell>
          <cell r="BZ385">
            <v>45</v>
          </cell>
          <cell r="CA385">
            <v>20</v>
          </cell>
          <cell r="CB385">
            <v>30</v>
          </cell>
          <cell r="CC385">
            <v>40</v>
          </cell>
          <cell r="CD385">
            <v>50</v>
          </cell>
          <cell r="CE385">
            <v>51</v>
          </cell>
          <cell r="CF385">
            <v>9.1999999999999993</v>
          </cell>
          <cell r="CG385">
            <v>8.3000000000000007</v>
          </cell>
          <cell r="CH385">
            <v>6.9</v>
          </cell>
          <cell r="CI385">
            <v>6.2</v>
          </cell>
          <cell r="CJ385">
            <v>5.6</v>
          </cell>
          <cell r="CK385">
            <v>5</v>
          </cell>
          <cell r="CL385">
            <v>4.5</v>
          </cell>
          <cell r="CM385">
            <v>4.0999999999999996</v>
          </cell>
          <cell r="CN385">
            <v>3.7</v>
          </cell>
          <cell r="CO385">
            <v>27.2</v>
          </cell>
          <cell r="CP385">
            <v>24.5</v>
          </cell>
          <cell r="CQ385">
            <v>32.700000000000003</v>
          </cell>
          <cell r="CR385">
            <v>29.4</v>
          </cell>
          <cell r="CS385">
            <v>38.4</v>
          </cell>
          <cell r="CT385">
            <v>34.6</v>
          </cell>
          <cell r="CU385">
            <v>31.1</v>
          </cell>
          <cell r="CV385">
            <v>28</v>
          </cell>
          <cell r="CW385">
            <v>25.2</v>
          </cell>
          <cell r="CX385">
            <v>25.5</v>
          </cell>
          <cell r="CY385">
            <v>23</v>
          </cell>
          <cell r="CZ385">
            <v>25.5</v>
          </cell>
          <cell r="DA385">
            <v>23</v>
          </cell>
          <cell r="DB385">
            <v>30.6</v>
          </cell>
          <cell r="DC385">
            <v>27.5</v>
          </cell>
          <cell r="DD385">
            <v>24.8</v>
          </cell>
          <cell r="DE385">
            <v>22.3</v>
          </cell>
          <cell r="DF385">
            <v>20.100000000000001</v>
          </cell>
          <cell r="DG385">
            <v>6.6</v>
          </cell>
          <cell r="DH385">
            <v>7.3</v>
          </cell>
          <cell r="DI385">
            <v>7.4</v>
          </cell>
          <cell r="DJ385">
            <v>8.1</v>
          </cell>
          <cell r="DK385">
            <v>1.9</v>
          </cell>
          <cell r="DL385">
            <v>2.1</v>
          </cell>
          <cell r="DM385">
            <v>2.2999999999999998</v>
          </cell>
          <cell r="DN385">
            <v>2.5</v>
          </cell>
          <cell r="DO385">
            <v>2.8</v>
          </cell>
          <cell r="DP385">
            <v>13.9</v>
          </cell>
          <cell r="DQ385">
            <v>15.3</v>
          </cell>
          <cell r="DR385">
            <v>9.3000000000000007</v>
          </cell>
          <cell r="DS385">
            <v>10.199999999999999</v>
          </cell>
          <cell r="DT385">
            <v>6.3</v>
          </cell>
          <cell r="DU385">
            <v>6.9</v>
          </cell>
          <cell r="DV385">
            <v>7.6</v>
          </cell>
          <cell r="DW385">
            <v>8.4</v>
          </cell>
          <cell r="DX385">
            <v>9.1999999999999993</v>
          </cell>
          <cell r="DY385">
            <v>0</v>
          </cell>
          <cell r="DZ385">
            <v>1</v>
          </cell>
          <cell r="EA385">
            <v>0</v>
          </cell>
          <cell r="EB385">
            <v>1</v>
          </cell>
          <cell r="EC385">
            <v>0.4</v>
          </cell>
          <cell r="ED385">
            <v>0.4</v>
          </cell>
          <cell r="EE385">
            <v>0.5</v>
          </cell>
          <cell r="EF385">
            <v>0.5</v>
          </cell>
          <cell r="EG385">
            <v>0.6</v>
          </cell>
        </row>
        <row r="386">
          <cell r="A386" t="str">
            <v>02810530All students</v>
          </cell>
          <cell r="B386" t="str">
            <v>02810530T</v>
          </cell>
          <cell r="C386" t="str">
            <v>0281</v>
          </cell>
          <cell r="D386" t="str">
            <v>02810530</v>
          </cell>
          <cell r="E386" t="str">
            <v>Springfield</v>
          </cell>
          <cell r="F386" t="str">
            <v>High School/Science-Tech</v>
          </cell>
          <cell r="G386" t="str">
            <v>HS</v>
          </cell>
          <cell r="H386" t="str">
            <v>Springfield - High School/Science-Tech (02810530)</v>
          </cell>
          <cell r="I386" t="str">
            <v>All students</v>
          </cell>
          <cell r="J386" t="str">
            <v>02810530All students</v>
          </cell>
          <cell r="K386" t="str">
            <v>Level 3</v>
          </cell>
          <cell r="L386">
            <v>82</v>
          </cell>
          <cell r="M386">
            <v>83.5</v>
          </cell>
          <cell r="N386">
            <v>83.6</v>
          </cell>
          <cell r="O386">
            <v>85</v>
          </cell>
          <cell r="P386">
            <v>86.7</v>
          </cell>
          <cell r="Q386">
            <v>86.5</v>
          </cell>
          <cell r="R386">
            <v>88</v>
          </cell>
          <cell r="S386">
            <v>89.5</v>
          </cell>
          <cell r="T386">
            <v>91</v>
          </cell>
          <cell r="U386">
            <v>65.7</v>
          </cell>
          <cell r="V386">
            <v>68.599999999999994</v>
          </cell>
          <cell r="W386">
            <v>62.9</v>
          </cell>
          <cell r="X386">
            <v>71.400000000000006</v>
          </cell>
          <cell r="Y386">
            <v>56.2</v>
          </cell>
          <cell r="Z386">
            <v>74.3</v>
          </cell>
          <cell r="AA386">
            <v>77.099999999999994</v>
          </cell>
          <cell r="AB386">
            <v>80</v>
          </cell>
          <cell r="AC386">
            <v>82.9</v>
          </cell>
          <cell r="AD386">
            <v>54.4</v>
          </cell>
          <cell r="AE386">
            <v>58.2</v>
          </cell>
          <cell r="AF386">
            <v>53.3</v>
          </cell>
          <cell r="AG386">
            <v>62</v>
          </cell>
          <cell r="AH386">
            <v>51.9</v>
          </cell>
          <cell r="AI386">
            <v>65.8</v>
          </cell>
          <cell r="AJ386">
            <v>69.599999999999994</v>
          </cell>
          <cell r="AK386">
            <v>73.400000000000006</v>
          </cell>
          <cell r="AL386">
            <v>77.2</v>
          </cell>
          <cell r="AM386">
            <v>39</v>
          </cell>
          <cell r="AN386">
            <v>41.5</v>
          </cell>
          <cell r="AO386">
            <v>36.299999999999997</v>
          </cell>
          <cell r="AP386">
            <v>38.799999999999997</v>
          </cell>
          <cell r="AQ386">
            <v>39.9</v>
          </cell>
          <cell r="AR386">
            <v>42.4</v>
          </cell>
          <cell r="AS386">
            <v>44.9</v>
          </cell>
          <cell r="AT386">
            <v>47.4</v>
          </cell>
          <cell r="AU386">
            <v>49.9</v>
          </cell>
          <cell r="AV386">
            <v>49.7</v>
          </cell>
          <cell r="AW386">
            <v>52.2</v>
          </cell>
          <cell r="AX386">
            <v>42.4</v>
          </cell>
          <cell r="AY386">
            <v>44.9</v>
          </cell>
          <cell r="AZ386">
            <v>42.1</v>
          </cell>
          <cell r="BA386">
            <v>44.6</v>
          </cell>
          <cell r="BB386">
            <v>47.1</v>
          </cell>
          <cell r="BC386">
            <v>49.6</v>
          </cell>
          <cell r="BD386">
            <v>52.1</v>
          </cell>
          <cell r="BE386">
            <v>15.9</v>
          </cell>
          <cell r="BF386">
            <v>14.6</v>
          </cell>
          <cell r="BG386">
            <v>16.600000000000001</v>
          </cell>
          <cell r="BH386">
            <v>13.3</v>
          </cell>
          <cell r="BI386">
            <v>11.6</v>
          </cell>
          <cell r="BJ386">
            <v>11.9</v>
          </cell>
          <cell r="BK386">
            <v>10.6</v>
          </cell>
          <cell r="BL386">
            <v>9.3000000000000007</v>
          </cell>
          <cell r="BM386">
            <v>8</v>
          </cell>
          <cell r="BN386">
            <v>35.5</v>
          </cell>
          <cell r="BO386">
            <v>45.5</v>
          </cell>
          <cell r="BP386">
            <v>31</v>
          </cell>
          <cell r="BQ386">
            <v>41</v>
          </cell>
          <cell r="BR386">
            <v>29.5</v>
          </cell>
          <cell r="BS386">
            <v>39.5</v>
          </cell>
          <cell r="BT386">
            <v>49.5</v>
          </cell>
          <cell r="BU386">
            <v>51</v>
          </cell>
          <cell r="BV386">
            <v>51</v>
          </cell>
          <cell r="BW386">
            <v>43</v>
          </cell>
          <cell r="BX386">
            <v>51</v>
          </cell>
          <cell r="BY386">
            <v>36</v>
          </cell>
          <cell r="BZ386">
            <v>46</v>
          </cell>
          <cell r="CA386">
            <v>21</v>
          </cell>
          <cell r="CB386">
            <v>31</v>
          </cell>
          <cell r="CC386">
            <v>41</v>
          </cell>
          <cell r="CD386">
            <v>51</v>
          </cell>
          <cell r="CE386">
            <v>51</v>
          </cell>
          <cell r="CF386">
            <v>8.3000000000000007</v>
          </cell>
          <cell r="CG386">
            <v>7.5</v>
          </cell>
          <cell r="CH386">
            <v>6.2</v>
          </cell>
          <cell r="CI386">
            <v>5.6</v>
          </cell>
          <cell r="CJ386">
            <v>5.0999999999999996</v>
          </cell>
          <cell r="CK386">
            <v>4.5999999999999996</v>
          </cell>
          <cell r="CL386">
            <v>4.0999999999999996</v>
          </cell>
          <cell r="CM386">
            <v>3.7</v>
          </cell>
          <cell r="CN386">
            <v>3.3</v>
          </cell>
          <cell r="CO386">
            <v>25.1</v>
          </cell>
          <cell r="CP386">
            <v>22.6</v>
          </cell>
          <cell r="CQ386">
            <v>32</v>
          </cell>
          <cell r="CR386">
            <v>28.8</v>
          </cell>
          <cell r="CS386">
            <v>36.9</v>
          </cell>
          <cell r="CT386">
            <v>33.200000000000003</v>
          </cell>
          <cell r="CU386">
            <v>29.9</v>
          </cell>
          <cell r="CV386">
            <v>26.9</v>
          </cell>
          <cell r="CW386">
            <v>24.2</v>
          </cell>
          <cell r="CX386">
            <v>24.4</v>
          </cell>
          <cell r="CY386">
            <v>22</v>
          </cell>
          <cell r="CZ386">
            <v>25.3</v>
          </cell>
          <cell r="DA386">
            <v>22.8</v>
          </cell>
          <cell r="DB386">
            <v>28.6</v>
          </cell>
          <cell r="DC386">
            <v>25.7</v>
          </cell>
          <cell r="DD386">
            <v>23.2</v>
          </cell>
          <cell r="DE386">
            <v>20.8</v>
          </cell>
          <cell r="DF386">
            <v>18.8</v>
          </cell>
          <cell r="DG386">
            <v>7.1</v>
          </cell>
          <cell r="DH386">
            <v>7.8</v>
          </cell>
          <cell r="DI386">
            <v>8.4</v>
          </cell>
          <cell r="DJ386">
            <v>9.1999999999999993</v>
          </cell>
          <cell r="DK386">
            <v>2.1</v>
          </cell>
          <cell r="DL386">
            <v>2.2999999999999998</v>
          </cell>
          <cell r="DM386">
            <v>2.5</v>
          </cell>
          <cell r="DN386">
            <v>2.8</v>
          </cell>
          <cell r="DO386">
            <v>3.1</v>
          </cell>
          <cell r="DP386">
            <v>14.4</v>
          </cell>
          <cell r="DQ386">
            <v>15.8</v>
          </cell>
          <cell r="DR386">
            <v>11.4</v>
          </cell>
          <cell r="DS386">
            <v>12.5</v>
          </cell>
          <cell r="DT386">
            <v>7.8</v>
          </cell>
          <cell r="DU386">
            <v>8.6</v>
          </cell>
          <cell r="DV386">
            <v>9.4</v>
          </cell>
          <cell r="DW386">
            <v>10.4</v>
          </cell>
          <cell r="DX386">
            <v>11.4</v>
          </cell>
          <cell r="DY386">
            <v>0</v>
          </cell>
          <cell r="DZ386">
            <v>1</v>
          </cell>
          <cell r="EA386">
            <v>0</v>
          </cell>
          <cell r="EB386">
            <v>1</v>
          </cell>
          <cell r="EC386">
            <v>0.7</v>
          </cell>
          <cell r="ED386">
            <v>0.8</v>
          </cell>
          <cell r="EE386">
            <v>0.8</v>
          </cell>
          <cell r="EF386">
            <v>0.9</v>
          </cell>
          <cell r="EG386">
            <v>1</v>
          </cell>
        </row>
        <row r="387">
          <cell r="A387" t="str">
            <v>03480035Asian</v>
          </cell>
          <cell r="B387" t="str">
            <v>03480035A</v>
          </cell>
          <cell r="C387" t="str">
            <v>0348</v>
          </cell>
          <cell r="D387" t="str">
            <v>03480035</v>
          </cell>
          <cell r="E387" t="str">
            <v>Worcester</v>
          </cell>
          <cell r="F387" t="str">
            <v>Burncoat Street</v>
          </cell>
          <cell r="G387" t="str">
            <v>ES</v>
          </cell>
          <cell r="H387" t="str">
            <v>Worcester - Burncoat Street (03480035)</v>
          </cell>
          <cell r="I387" t="str">
            <v>Asian</v>
          </cell>
          <cell r="J387" t="str">
            <v>03480035Asian</v>
          </cell>
          <cell r="K387" t="str">
            <v>--</v>
          </cell>
          <cell r="L387" t="str">
            <v>--</v>
          </cell>
          <cell r="M387" t="str">
            <v>--</v>
          </cell>
          <cell r="N387" t="str">
            <v>--</v>
          </cell>
          <cell r="O387" t="str">
            <v>--</v>
          </cell>
          <cell r="P387" t="str">
            <v>--</v>
          </cell>
          <cell r="Q387" t="str">
            <v>--</v>
          </cell>
          <cell r="R387" t="str">
            <v>--</v>
          </cell>
          <cell r="S387" t="str">
            <v>--</v>
          </cell>
          <cell r="T387" t="str">
            <v>--</v>
          </cell>
          <cell r="U387" t="str">
            <v>--</v>
          </cell>
          <cell r="V387" t="str">
            <v>--</v>
          </cell>
          <cell r="W387" t="str">
            <v>--</v>
          </cell>
          <cell r="X387" t="str">
            <v>--</v>
          </cell>
          <cell r="Y387" t="str">
            <v>--</v>
          </cell>
          <cell r="Z387" t="str">
            <v>--</v>
          </cell>
          <cell r="AA387" t="str">
            <v>--</v>
          </cell>
          <cell r="AB387" t="str">
            <v>--</v>
          </cell>
          <cell r="AC387" t="str">
            <v>--</v>
          </cell>
          <cell r="AD387" t="str">
            <v>--</v>
          </cell>
          <cell r="AE387" t="str">
            <v>--</v>
          </cell>
          <cell r="AF387" t="str">
            <v>--</v>
          </cell>
          <cell r="AG387" t="str">
            <v>--</v>
          </cell>
          <cell r="AH387" t="str">
            <v>--</v>
          </cell>
          <cell r="AI387" t="str">
            <v>--</v>
          </cell>
          <cell r="AJ387" t="str">
            <v>--</v>
          </cell>
          <cell r="AK387" t="str">
            <v>--</v>
          </cell>
          <cell r="AL387" t="str">
            <v>--</v>
          </cell>
          <cell r="AM387" t="str">
            <v>--</v>
          </cell>
          <cell r="AN387" t="str">
            <v>--</v>
          </cell>
          <cell r="AO387" t="str">
            <v>--</v>
          </cell>
          <cell r="AP387" t="str">
            <v>--</v>
          </cell>
          <cell r="AQ387" t="str">
            <v>--</v>
          </cell>
          <cell r="AR387" t="str">
            <v>--</v>
          </cell>
          <cell r="AS387" t="str">
            <v>--</v>
          </cell>
          <cell r="AT387" t="str">
            <v>--</v>
          </cell>
          <cell r="AU387" t="str">
            <v>--</v>
          </cell>
          <cell r="AV387" t="str">
            <v>--</v>
          </cell>
          <cell r="AW387" t="str">
            <v>--</v>
          </cell>
          <cell r="AX387" t="str">
            <v>--</v>
          </cell>
          <cell r="AY387" t="str">
            <v>--</v>
          </cell>
          <cell r="AZ387" t="str">
            <v>--</v>
          </cell>
          <cell r="BA387" t="str">
            <v>--</v>
          </cell>
          <cell r="BB387" t="str">
            <v>--</v>
          </cell>
          <cell r="BC387" t="str">
            <v>--</v>
          </cell>
          <cell r="BD387" t="str">
            <v>--</v>
          </cell>
          <cell r="BE387" t="str">
            <v>--</v>
          </cell>
          <cell r="BF387" t="str">
            <v>--</v>
          </cell>
          <cell r="BG387" t="str">
            <v>--</v>
          </cell>
          <cell r="BH387" t="str">
            <v>--</v>
          </cell>
          <cell r="BI387" t="str">
            <v>--</v>
          </cell>
          <cell r="BJ387" t="str">
            <v>--</v>
          </cell>
          <cell r="BK387" t="str">
            <v>--</v>
          </cell>
          <cell r="BL387" t="str">
            <v>--</v>
          </cell>
          <cell r="BM387" t="str">
            <v>--</v>
          </cell>
          <cell r="BN387" t="str">
            <v>--</v>
          </cell>
          <cell r="BO387" t="str">
            <v>--</v>
          </cell>
          <cell r="BP387" t="str">
            <v>--</v>
          </cell>
          <cell r="BQ387" t="str">
            <v>--</v>
          </cell>
          <cell r="BR387" t="str">
            <v>--</v>
          </cell>
          <cell r="BS387" t="str">
            <v>--</v>
          </cell>
          <cell r="BT387" t="str">
            <v>--</v>
          </cell>
          <cell r="BU387" t="str">
            <v>--</v>
          </cell>
          <cell r="BV387" t="str">
            <v>--</v>
          </cell>
          <cell r="BW387" t="str">
            <v>--</v>
          </cell>
          <cell r="BX387" t="str">
            <v>--</v>
          </cell>
          <cell r="BY387" t="str">
            <v>--</v>
          </cell>
          <cell r="BZ387" t="str">
            <v>--</v>
          </cell>
          <cell r="CA387" t="str">
            <v>--</v>
          </cell>
          <cell r="CB387" t="str">
            <v>--</v>
          </cell>
          <cell r="CC387" t="str">
            <v>--</v>
          </cell>
          <cell r="CD387" t="str">
            <v>--</v>
          </cell>
          <cell r="CE387" t="str">
            <v>--</v>
          </cell>
          <cell r="CF387" t="str">
            <v>--</v>
          </cell>
          <cell r="CG387" t="str">
            <v>--</v>
          </cell>
          <cell r="CH387" t="str">
            <v>--</v>
          </cell>
          <cell r="CI387" t="str">
            <v>--</v>
          </cell>
          <cell r="CJ387" t="str">
            <v>--</v>
          </cell>
          <cell r="CK387" t="str">
            <v>--</v>
          </cell>
          <cell r="CL387" t="str">
            <v>--</v>
          </cell>
          <cell r="CM387" t="str">
            <v>--</v>
          </cell>
          <cell r="CN387" t="str">
            <v>--</v>
          </cell>
          <cell r="CO387" t="str">
            <v>--</v>
          </cell>
          <cell r="CP387" t="str">
            <v>--</v>
          </cell>
          <cell r="CQ387" t="str">
            <v>--</v>
          </cell>
          <cell r="CR387" t="str">
            <v>--</v>
          </cell>
          <cell r="CS387" t="str">
            <v>--</v>
          </cell>
          <cell r="CT387" t="str">
            <v>--</v>
          </cell>
          <cell r="CU387" t="str">
            <v>--</v>
          </cell>
          <cell r="CV387" t="str">
            <v>--</v>
          </cell>
          <cell r="CW387" t="str">
            <v>--</v>
          </cell>
          <cell r="CX387" t="str">
            <v>--</v>
          </cell>
          <cell r="CY387" t="str">
            <v>--</v>
          </cell>
          <cell r="CZ387" t="str">
            <v>--</v>
          </cell>
          <cell r="DA387" t="str">
            <v>--</v>
          </cell>
          <cell r="DB387" t="str">
            <v>--</v>
          </cell>
          <cell r="DC387" t="str">
            <v>--</v>
          </cell>
          <cell r="DD387" t="str">
            <v>--</v>
          </cell>
          <cell r="DE387" t="str">
            <v>--</v>
          </cell>
          <cell r="DF387" t="str">
            <v>--</v>
          </cell>
          <cell r="DG387" t="str">
            <v>--</v>
          </cell>
          <cell r="DH387" t="str">
            <v>--</v>
          </cell>
          <cell r="DI387" t="str">
            <v>--</v>
          </cell>
          <cell r="DJ387" t="str">
            <v>--</v>
          </cell>
          <cell r="DK387" t="str">
            <v>--</v>
          </cell>
          <cell r="DL387" t="str">
            <v>--</v>
          </cell>
          <cell r="DM387" t="str">
            <v>--</v>
          </cell>
          <cell r="DN387" t="str">
            <v>--</v>
          </cell>
          <cell r="DO387" t="str">
            <v>--</v>
          </cell>
          <cell r="DP387" t="str">
            <v>--</v>
          </cell>
          <cell r="DQ387" t="str">
            <v>--</v>
          </cell>
          <cell r="DR387" t="str">
            <v>--</v>
          </cell>
          <cell r="DS387" t="str">
            <v>--</v>
          </cell>
          <cell r="DT387" t="str">
            <v>--</v>
          </cell>
          <cell r="DU387" t="str">
            <v>--</v>
          </cell>
          <cell r="DV387" t="str">
            <v>--</v>
          </cell>
          <cell r="DW387" t="str">
            <v>--</v>
          </cell>
          <cell r="DX387" t="str">
            <v>--</v>
          </cell>
          <cell r="DY387" t="str">
            <v>--</v>
          </cell>
          <cell r="DZ387" t="str">
            <v>--</v>
          </cell>
          <cell r="EA387" t="str">
            <v>--</v>
          </cell>
          <cell r="EB387" t="str">
            <v>--</v>
          </cell>
          <cell r="EC387" t="str">
            <v>--</v>
          </cell>
          <cell r="ED387" t="str">
            <v>--</v>
          </cell>
          <cell r="EE387" t="str">
            <v>--</v>
          </cell>
          <cell r="EF387" t="str">
            <v>--</v>
          </cell>
          <cell r="EG387" t="str">
            <v>--</v>
          </cell>
        </row>
        <row r="388">
          <cell r="A388" t="str">
            <v>03480035Afr. Amer/Black</v>
          </cell>
          <cell r="B388" t="str">
            <v>03480035B</v>
          </cell>
          <cell r="C388" t="str">
            <v>0348</v>
          </cell>
          <cell r="D388" t="str">
            <v>03480035</v>
          </cell>
          <cell r="E388" t="str">
            <v>Worcester</v>
          </cell>
          <cell r="F388" t="str">
            <v>Burncoat Street</v>
          </cell>
          <cell r="G388" t="str">
            <v>ES</v>
          </cell>
          <cell r="H388" t="str">
            <v>Worcester - Burncoat Street (03480035)</v>
          </cell>
          <cell r="I388" t="str">
            <v>Afr. Amer/Black</v>
          </cell>
          <cell r="J388" t="str">
            <v>03480035Afr. Amer/Black</v>
          </cell>
          <cell r="K388" t="str">
            <v>--</v>
          </cell>
          <cell r="L388">
            <v>60.2</v>
          </cell>
          <cell r="M388">
            <v>63.5</v>
          </cell>
          <cell r="N388">
            <v>43.8</v>
          </cell>
          <cell r="O388">
            <v>66.8</v>
          </cell>
          <cell r="P388">
            <v>59.1</v>
          </cell>
          <cell r="Q388">
            <v>70.2</v>
          </cell>
          <cell r="R388">
            <v>73.5</v>
          </cell>
          <cell r="S388">
            <v>76.8</v>
          </cell>
          <cell r="T388">
            <v>80.099999999999994</v>
          </cell>
          <cell r="U388">
            <v>50</v>
          </cell>
          <cell r="V388">
            <v>54.2</v>
          </cell>
          <cell r="W388">
            <v>29.2</v>
          </cell>
          <cell r="X388">
            <v>58.3</v>
          </cell>
          <cell r="Y388">
            <v>52.3</v>
          </cell>
          <cell r="Z388">
            <v>62.5</v>
          </cell>
          <cell r="AA388">
            <v>66.7</v>
          </cell>
          <cell r="AB388">
            <v>70.8</v>
          </cell>
          <cell r="AC388">
            <v>75</v>
          </cell>
          <cell r="AD388" t="str">
            <v>--</v>
          </cell>
          <cell r="AE388" t="str">
            <v>--</v>
          </cell>
          <cell r="AF388" t="str">
            <v>--</v>
          </cell>
          <cell r="AG388" t="str">
            <v>--</v>
          </cell>
          <cell r="AH388" t="str">
            <v>--</v>
          </cell>
          <cell r="AI388" t="str">
            <v>--</v>
          </cell>
          <cell r="AJ388" t="str">
            <v>--</v>
          </cell>
          <cell r="AK388" t="str">
            <v>--</v>
          </cell>
          <cell r="AL388" t="str">
            <v>--</v>
          </cell>
          <cell r="AM388" t="str">
            <v>--</v>
          </cell>
          <cell r="AN388" t="str">
            <v>--</v>
          </cell>
          <cell r="AO388" t="str">
            <v>--</v>
          </cell>
          <cell r="AP388" t="str">
            <v>--</v>
          </cell>
          <cell r="AQ388" t="str">
            <v>--</v>
          </cell>
          <cell r="AR388" t="str">
            <v>--</v>
          </cell>
          <cell r="AS388" t="str">
            <v>--</v>
          </cell>
          <cell r="AT388" t="str">
            <v>--</v>
          </cell>
          <cell r="AU388" t="str">
            <v>--</v>
          </cell>
          <cell r="AV388" t="str">
            <v>--</v>
          </cell>
          <cell r="AW388" t="str">
            <v>--</v>
          </cell>
          <cell r="AX388" t="str">
            <v>--</v>
          </cell>
          <cell r="AY388" t="str">
            <v>--</v>
          </cell>
          <cell r="AZ388" t="str">
            <v>--</v>
          </cell>
          <cell r="BA388" t="str">
            <v>--</v>
          </cell>
          <cell r="BB388" t="str">
            <v>--</v>
          </cell>
          <cell r="BC388" t="str">
            <v>--</v>
          </cell>
          <cell r="BD388" t="str">
            <v>--</v>
          </cell>
          <cell r="BE388" t="str">
            <v>--</v>
          </cell>
          <cell r="BF388" t="str">
            <v>--</v>
          </cell>
          <cell r="BG388" t="str">
            <v>--</v>
          </cell>
          <cell r="BH388" t="str">
            <v>--</v>
          </cell>
          <cell r="BI388" t="str">
            <v>--</v>
          </cell>
          <cell r="BJ388" t="str">
            <v>--</v>
          </cell>
          <cell r="BK388" t="str">
            <v>--</v>
          </cell>
          <cell r="BL388" t="str">
            <v>--</v>
          </cell>
          <cell r="BM388" t="str">
            <v>--</v>
          </cell>
          <cell r="BN388" t="str">
            <v>--</v>
          </cell>
          <cell r="BO388" t="str">
            <v>--</v>
          </cell>
          <cell r="BP388" t="str">
            <v>--</v>
          </cell>
          <cell r="BQ388" t="str">
            <v>--</v>
          </cell>
          <cell r="BR388" t="str">
            <v>--</v>
          </cell>
          <cell r="BS388" t="str">
            <v>--</v>
          </cell>
          <cell r="BT388" t="str">
            <v>--</v>
          </cell>
          <cell r="BU388" t="str">
            <v>--</v>
          </cell>
          <cell r="BV388" t="str">
            <v>--</v>
          </cell>
          <cell r="BW388" t="str">
            <v>--</v>
          </cell>
          <cell r="BX388" t="str">
            <v>--</v>
          </cell>
          <cell r="BY388" t="str">
            <v>--</v>
          </cell>
          <cell r="BZ388" t="str">
            <v>--</v>
          </cell>
          <cell r="CA388" t="str">
            <v>--</v>
          </cell>
          <cell r="CB388" t="str">
            <v>--</v>
          </cell>
          <cell r="CC388" t="str">
            <v>--</v>
          </cell>
          <cell r="CD388" t="str">
            <v>--</v>
          </cell>
          <cell r="CE388" t="str">
            <v>--</v>
          </cell>
          <cell r="CF388">
            <v>31.3</v>
          </cell>
          <cell r="CG388">
            <v>24.6</v>
          </cell>
          <cell r="CH388">
            <v>58.3</v>
          </cell>
          <cell r="CI388" t="str">
            <v>--</v>
          </cell>
          <cell r="CJ388">
            <v>27.3</v>
          </cell>
          <cell r="CK388" t="str">
            <v>--</v>
          </cell>
          <cell r="CL388" t="str">
            <v>--</v>
          </cell>
          <cell r="CM388" t="str">
            <v>--</v>
          </cell>
          <cell r="CN388" t="str">
            <v>--</v>
          </cell>
          <cell r="CO388">
            <v>56.3</v>
          </cell>
          <cell r="CP388">
            <v>32.799999999999997</v>
          </cell>
          <cell r="CQ388">
            <v>75</v>
          </cell>
          <cell r="CR388" t="str">
            <v>--</v>
          </cell>
          <cell r="CS388">
            <v>45.5</v>
          </cell>
          <cell r="CT388" t="str">
            <v>--</v>
          </cell>
          <cell r="CU388" t="str">
            <v>--</v>
          </cell>
          <cell r="CV388" t="str">
            <v>--</v>
          </cell>
          <cell r="CW388" t="str">
            <v>--</v>
          </cell>
          <cell r="CX388" t="str">
            <v>--</v>
          </cell>
          <cell r="CY388" t="str">
            <v>--</v>
          </cell>
          <cell r="CZ388" t="str">
            <v>--</v>
          </cell>
          <cell r="DA388" t="str">
            <v>--</v>
          </cell>
          <cell r="DB388" t="str">
            <v>--</v>
          </cell>
          <cell r="DC388" t="str">
            <v>--</v>
          </cell>
          <cell r="DD388" t="str">
            <v>--</v>
          </cell>
          <cell r="DE388" t="str">
            <v>--</v>
          </cell>
          <cell r="DF388" t="str">
            <v>--</v>
          </cell>
          <cell r="DG388">
            <v>0</v>
          </cell>
          <cell r="DH388">
            <v>1</v>
          </cell>
          <cell r="DI388">
            <v>0</v>
          </cell>
          <cell r="DJ388" t="str">
            <v>--</v>
          </cell>
          <cell r="DK388">
            <v>0</v>
          </cell>
          <cell r="DL388" t="str">
            <v>--</v>
          </cell>
          <cell r="DM388" t="str">
            <v>--</v>
          </cell>
          <cell r="DN388" t="str">
            <v>--</v>
          </cell>
          <cell r="DO388" t="str">
            <v>--</v>
          </cell>
          <cell r="DP388">
            <v>0</v>
          </cell>
          <cell r="DQ388">
            <v>5</v>
          </cell>
          <cell r="DR388">
            <v>0</v>
          </cell>
          <cell r="DS388" t="str">
            <v>--</v>
          </cell>
          <cell r="DT388">
            <v>0</v>
          </cell>
          <cell r="DU388" t="str">
            <v>--</v>
          </cell>
          <cell r="DV388" t="str">
            <v>--</v>
          </cell>
          <cell r="DW388" t="str">
            <v>--</v>
          </cell>
          <cell r="DX388" t="str">
            <v>--</v>
          </cell>
          <cell r="DY388" t="str">
            <v>--</v>
          </cell>
          <cell r="DZ388" t="str">
            <v>--</v>
          </cell>
          <cell r="EA388" t="str">
            <v>--</v>
          </cell>
          <cell r="EB388" t="str">
            <v>--</v>
          </cell>
          <cell r="EC388" t="str">
            <v>--</v>
          </cell>
          <cell r="ED388" t="str">
            <v>--</v>
          </cell>
          <cell r="EE388" t="str">
            <v>--</v>
          </cell>
          <cell r="EF388" t="str">
            <v>--</v>
          </cell>
          <cell r="EG388" t="str">
            <v>--</v>
          </cell>
        </row>
        <row r="389">
          <cell r="A389" t="str">
            <v>03480035White</v>
          </cell>
          <cell r="B389" t="str">
            <v>03480035C</v>
          </cell>
          <cell r="C389" t="str">
            <v>0348</v>
          </cell>
          <cell r="D389" t="str">
            <v>03480035</v>
          </cell>
          <cell r="E389" t="str">
            <v>Worcester</v>
          </cell>
          <cell r="F389" t="str">
            <v>Burncoat Street</v>
          </cell>
          <cell r="G389" t="str">
            <v>ES</v>
          </cell>
          <cell r="H389" t="str">
            <v>Worcester - Burncoat Street (03480035)</v>
          </cell>
          <cell r="I389" t="str">
            <v>White</v>
          </cell>
          <cell r="J389" t="str">
            <v>03480035White</v>
          </cell>
          <cell r="K389" t="str">
            <v>--</v>
          </cell>
          <cell r="L389">
            <v>76.099999999999994</v>
          </cell>
          <cell r="M389">
            <v>78.099999999999994</v>
          </cell>
          <cell r="N389">
            <v>73.3</v>
          </cell>
          <cell r="O389">
            <v>80.099999999999994</v>
          </cell>
          <cell r="P389">
            <v>78.099999999999994</v>
          </cell>
          <cell r="Q389">
            <v>82.1</v>
          </cell>
          <cell r="R389">
            <v>84.1</v>
          </cell>
          <cell r="S389">
            <v>86.1</v>
          </cell>
          <cell r="T389">
            <v>88.1</v>
          </cell>
          <cell r="U389">
            <v>69.599999999999994</v>
          </cell>
          <cell r="V389">
            <v>72.099999999999994</v>
          </cell>
          <cell r="W389">
            <v>58.3</v>
          </cell>
          <cell r="X389">
            <v>74.7</v>
          </cell>
          <cell r="Y389">
            <v>62.5</v>
          </cell>
          <cell r="Z389">
            <v>77.2</v>
          </cell>
          <cell r="AA389">
            <v>79.7</v>
          </cell>
          <cell r="AB389">
            <v>82.3</v>
          </cell>
          <cell r="AC389">
            <v>84.8</v>
          </cell>
          <cell r="AD389" t="str">
            <v>--</v>
          </cell>
          <cell r="AE389" t="str">
            <v>--</v>
          </cell>
          <cell r="AF389" t="str">
            <v>--</v>
          </cell>
          <cell r="AG389" t="str">
            <v>--</v>
          </cell>
          <cell r="AH389" t="str">
            <v>--</v>
          </cell>
          <cell r="AI389" t="str">
            <v>--</v>
          </cell>
          <cell r="AJ389" t="str">
            <v>--</v>
          </cell>
          <cell r="AK389" t="str">
            <v>--</v>
          </cell>
          <cell r="AL389" t="str">
            <v>--</v>
          </cell>
          <cell r="AM389" t="str">
            <v>--</v>
          </cell>
          <cell r="AN389" t="str">
            <v>--</v>
          </cell>
          <cell r="AO389" t="str">
            <v>--</v>
          </cell>
          <cell r="AP389" t="str">
            <v>--</v>
          </cell>
          <cell r="AQ389" t="str">
            <v>--</v>
          </cell>
          <cell r="AR389" t="str">
            <v>--</v>
          </cell>
          <cell r="AS389" t="str">
            <v>--</v>
          </cell>
          <cell r="AT389" t="str">
            <v>--</v>
          </cell>
          <cell r="AU389" t="str">
            <v>--</v>
          </cell>
          <cell r="AV389" t="str">
            <v>--</v>
          </cell>
          <cell r="AW389" t="str">
            <v>--</v>
          </cell>
          <cell r="AX389" t="str">
            <v>--</v>
          </cell>
          <cell r="AY389" t="str">
            <v>--</v>
          </cell>
          <cell r="AZ389" t="str">
            <v>--</v>
          </cell>
          <cell r="BA389" t="str">
            <v>--</v>
          </cell>
          <cell r="BB389" t="str">
            <v>--</v>
          </cell>
          <cell r="BC389" t="str">
            <v>--</v>
          </cell>
          <cell r="BD389" t="str">
            <v>--</v>
          </cell>
          <cell r="BE389" t="str">
            <v>--</v>
          </cell>
          <cell r="BF389" t="str">
            <v>--</v>
          </cell>
          <cell r="BG389" t="str">
            <v>--</v>
          </cell>
          <cell r="BH389" t="str">
            <v>--</v>
          </cell>
          <cell r="BI389" t="str">
            <v>--</v>
          </cell>
          <cell r="BJ389" t="str">
            <v>--</v>
          </cell>
          <cell r="BK389" t="str">
            <v>--</v>
          </cell>
          <cell r="BL389" t="str">
            <v>--</v>
          </cell>
          <cell r="BM389" t="str">
            <v>--</v>
          </cell>
          <cell r="BN389" t="str">
            <v>--</v>
          </cell>
          <cell r="BO389" t="str">
            <v>--</v>
          </cell>
          <cell r="BP389" t="str">
            <v>--</v>
          </cell>
          <cell r="BQ389" t="str">
            <v>--</v>
          </cell>
          <cell r="BR389" t="str">
            <v>--</v>
          </cell>
          <cell r="BS389" t="str">
            <v>--</v>
          </cell>
          <cell r="BT389" t="str">
            <v>--</v>
          </cell>
          <cell r="BU389" t="str">
            <v>--</v>
          </cell>
          <cell r="BV389" t="str">
            <v>--</v>
          </cell>
          <cell r="BW389" t="str">
            <v>--</v>
          </cell>
          <cell r="BX389" t="str">
            <v>--</v>
          </cell>
          <cell r="BY389" t="str">
            <v>--</v>
          </cell>
          <cell r="BZ389" t="str">
            <v>--</v>
          </cell>
          <cell r="CA389" t="str">
            <v>--</v>
          </cell>
          <cell r="CB389" t="str">
            <v>--</v>
          </cell>
          <cell r="CC389" t="str">
            <v>--</v>
          </cell>
          <cell r="CD389" t="str">
            <v>--</v>
          </cell>
          <cell r="CE389" t="str">
            <v>--</v>
          </cell>
          <cell r="CF389">
            <v>7.1</v>
          </cell>
          <cell r="CG389">
            <v>7.8</v>
          </cell>
          <cell r="CH389">
            <v>20</v>
          </cell>
          <cell r="CI389" t="str">
            <v>--</v>
          </cell>
          <cell r="CJ389">
            <v>6.3</v>
          </cell>
          <cell r="CK389" t="str">
            <v>--</v>
          </cell>
          <cell r="CL389" t="str">
            <v>--</v>
          </cell>
          <cell r="CM389" t="str">
            <v>--</v>
          </cell>
          <cell r="CN389" t="str">
            <v>--</v>
          </cell>
          <cell r="CO389">
            <v>6.3</v>
          </cell>
          <cell r="CP389">
            <v>19.5</v>
          </cell>
          <cell r="CQ389">
            <v>46.7</v>
          </cell>
          <cell r="CR389" t="str">
            <v>--</v>
          </cell>
          <cell r="CS389">
            <v>31.3</v>
          </cell>
          <cell r="CT389" t="str">
            <v>--</v>
          </cell>
          <cell r="CU389" t="str">
            <v>--</v>
          </cell>
          <cell r="CV389" t="str">
            <v>--</v>
          </cell>
          <cell r="CW389" t="str">
            <v>--</v>
          </cell>
          <cell r="CX389" t="str">
            <v>--</v>
          </cell>
          <cell r="CY389" t="str">
            <v>--</v>
          </cell>
          <cell r="CZ389" t="str">
            <v>--</v>
          </cell>
          <cell r="DA389" t="str">
            <v>--</v>
          </cell>
          <cell r="DB389" t="str">
            <v>--</v>
          </cell>
          <cell r="DC389" t="str">
            <v>--</v>
          </cell>
          <cell r="DD389" t="str">
            <v>--</v>
          </cell>
          <cell r="DE389" t="str">
            <v>--</v>
          </cell>
          <cell r="DF389" t="str">
            <v>--</v>
          </cell>
          <cell r="DG389">
            <v>14.3</v>
          </cell>
          <cell r="DH389">
            <v>4.7</v>
          </cell>
          <cell r="DI389">
            <v>6.7</v>
          </cell>
          <cell r="DJ389" t="str">
            <v>--</v>
          </cell>
          <cell r="DK389">
            <v>6.3</v>
          </cell>
          <cell r="DL389" t="str">
            <v>--</v>
          </cell>
          <cell r="DM389" t="str">
            <v>--</v>
          </cell>
          <cell r="DN389" t="str">
            <v>--</v>
          </cell>
          <cell r="DO389" t="str">
            <v>--</v>
          </cell>
          <cell r="DP389">
            <v>31.3</v>
          </cell>
          <cell r="DQ389">
            <v>19.100000000000001</v>
          </cell>
          <cell r="DR389">
            <v>20</v>
          </cell>
          <cell r="DS389" t="str">
            <v>--</v>
          </cell>
          <cell r="DT389">
            <v>12.5</v>
          </cell>
          <cell r="DU389" t="str">
            <v>--</v>
          </cell>
          <cell r="DV389" t="str">
            <v>--</v>
          </cell>
          <cell r="DW389" t="str">
            <v>--</v>
          </cell>
          <cell r="DX389" t="str">
            <v>--</v>
          </cell>
          <cell r="DY389" t="str">
            <v>--</v>
          </cell>
          <cell r="DZ389" t="str">
            <v>--</v>
          </cell>
          <cell r="EA389" t="str">
            <v>--</v>
          </cell>
          <cell r="EB389" t="str">
            <v>--</v>
          </cell>
          <cell r="EC389" t="str">
            <v>--</v>
          </cell>
          <cell r="ED389" t="str">
            <v>--</v>
          </cell>
          <cell r="EE389" t="str">
            <v>--</v>
          </cell>
          <cell r="EF389" t="str">
            <v>--</v>
          </cell>
          <cell r="EG389" t="str">
            <v>--</v>
          </cell>
        </row>
        <row r="390">
          <cell r="A390" t="str">
            <v>03480035Students w/disabilities</v>
          </cell>
          <cell r="B390" t="str">
            <v>03480035D</v>
          </cell>
          <cell r="C390" t="str">
            <v>0348</v>
          </cell>
          <cell r="D390" t="str">
            <v>03480035</v>
          </cell>
          <cell r="E390" t="str">
            <v>Worcester</v>
          </cell>
          <cell r="F390" t="str">
            <v>Burncoat Street</v>
          </cell>
          <cell r="G390" t="str">
            <v>ES</v>
          </cell>
          <cell r="H390" t="str">
            <v>Worcester - Burncoat Street (03480035)</v>
          </cell>
          <cell r="I390" t="str">
            <v>Students w/disabilities</v>
          </cell>
          <cell r="J390" t="str">
            <v>03480035Students w/disabilities</v>
          </cell>
          <cell r="K390" t="str">
            <v>--</v>
          </cell>
          <cell r="L390">
            <v>45.1</v>
          </cell>
          <cell r="M390">
            <v>49.7</v>
          </cell>
          <cell r="N390">
            <v>33.1</v>
          </cell>
          <cell r="O390">
            <v>54.3</v>
          </cell>
          <cell r="P390">
            <v>45.9</v>
          </cell>
          <cell r="Q390">
            <v>58.8</v>
          </cell>
          <cell r="R390">
            <v>63.4</v>
          </cell>
          <cell r="S390">
            <v>68</v>
          </cell>
          <cell r="T390">
            <v>72.599999999999994</v>
          </cell>
          <cell r="U390">
            <v>37.799999999999997</v>
          </cell>
          <cell r="V390">
            <v>43</v>
          </cell>
          <cell r="W390">
            <v>30.7</v>
          </cell>
          <cell r="X390">
            <v>48.2</v>
          </cell>
          <cell r="Y390">
            <v>37.5</v>
          </cell>
          <cell r="Z390">
            <v>53.4</v>
          </cell>
          <cell r="AA390">
            <v>58.5</v>
          </cell>
          <cell r="AB390">
            <v>63.7</v>
          </cell>
          <cell r="AC390">
            <v>68.900000000000006</v>
          </cell>
          <cell r="AD390" t="str">
            <v>--</v>
          </cell>
          <cell r="AE390" t="str">
            <v>--</v>
          </cell>
          <cell r="AF390" t="str">
            <v>--</v>
          </cell>
          <cell r="AG390" t="str">
            <v>--</v>
          </cell>
          <cell r="AH390" t="str">
            <v>--</v>
          </cell>
          <cell r="AI390" t="str">
            <v>--</v>
          </cell>
          <cell r="AJ390" t="str">
            <v>--</v>
          </cell>
          <cell r="AK390" t="str">
            <v>--</v>
          </cell>
          <cell r="AL390" t="str">
            <v>--</v>
          </cell>
          <cell r="AM390" t="str">
            <v>--</v>
          </cell>
          <cell r="AN390" t="str">
            <v>--</v>
          </cell>
          <cell r="AO390" t="str">
            <v>--</v>
          </cell>
          <cell r="AP390" t="str">
            <v>--</v>
          </cell>
          <cell r="AQ390" t="str">
            <v>--</v>
          </cell>
          <cell r="AR390" t="str">
            <v>--</v>
          </cell>
          <cell r="AS390" t="str">
            <v>--</v>
          </cell>
          <cell r="AT390" t="str">
            <v>--</v>
          </cell>
          <cell r="AU390" t="str">
            <v>--</v>
          </cell>
          <cell r="AV390" t="str">
            <v>--</v>
          </cell>
          <cell r="AW390" t="str">
            <v>--</v>
          </cell>
          <cell r="AX390" t="str">
            <v>--</v>
          </cell>
          <cell r="AY390" t="str">
            <v>--</v>
          </cell>
          <cell r="AZ390" t="str">
            <v>--</v>
          </cell>
          <cell r="BA390" t="str">
            <v>--</v>
          </cell>
          <cell r="BB390" t="str">
            <v>--</v>
          </cell>
          <cell r="BC390" t="str">
            <v>--</v>
          </cell>
          <cell r="BD390" t="str">
            <v>--</v>
          </cell>
          <cell r="BE390" t="str">
            <v>--</v>
          </cell>
          <cell r="BF390" t="str">
            <v>--</v>
          </cell>
          <cell r="BG390" t="str">
            <v>--</v>
          </cell>
          <cell r="BH390" t="str">
            <v>--</v>
          </cell>
          <cell r="BI390" t="str">
            <v>--</v>
          </cell>
          <cell r="BJ390" t="str">
            <v>--</v>
          </cell>
          <cell r="BK390" t="str">
            <v>--</v>
          </cell>
          <cell r="BL390" t="str">
            <v>--</v>
          </cell>
          <cell r="BM390" t="str">
            <v>--</v>
          </cell>
          <cell r="BN390">
            <v>22.5</v>
          </cell>
          <cell r="BO390">
            <v>32.5</v>
          </cell>
          <cell r="BP390">
            <v>17.5</v>
          </cell>
          <cell r="BQ390">
            <v>32.5</v>
          </cell>
          <cell r="BR390">
            <v>49</v>
          </cell>
          <cell r="BS390">
            <v>51</v>
          </cell>
          <cell r="BT390">
            <v>51</v>
          </cell>
          <cell r="BU390">
            <v>51</v>
          </cell>
          <cell r="BV390">
            <v>51</v>
          </cell>
          <cell r="BW390">
            <v>19</v>
          </cell>
          <cell r="BX390">
            <v>29</v>
          </cell>
          <cell r="BY390">
            <v>23.5</v>
          </cell>
          <cell r="BZ390">
            <v>29</v>
          </cell>
          <cell r="CA390">
            <v>42.5</v>
          </cell>
          <cell r="CB390">
            <v>51</v>
          </cell>
          <cell r="CC390">
            <v>51</v>
          </cell>
          <cell r="CD390">
            <v>51</v>
          </cell>
          <cell r="CE390">
            <v>51</v>
          </cell>
          <cell r="CF390">
            <v>56.1</v>
          </cell>
          <cell r="CG390">
            <v>50.5</v>
          </cell>
          <cell r="CH390">
            <v>74.400000000000006</v>
          </cell>
          <cell r="CI390">
            <v>67</v>
          </cell>
          <cell r="CJ390">
            <v>51.2</v>
          </cell>
          <cell r="CK390">
            <v>46.1</v>
          </cell>
          <cell r="CL390">
            <v>41.5</v>
          </cell>
          <cell r="CM390">
            <v>37.299999999999997</v>
          </cell>
          <cell r="CN390">
            <v>33.6</v>
          </cell>
          <cell r="CO390">
            <v>60.5</v>
          </cell>
          <cell r="CP390">
            <v>54.5</v>
          </cell>
          <cell r="CQ390">
            <v>75</v>
          </cell>
          <cell r="CR390">
            <v>67.5</v>
          </cell>
          <cell r="CS390">
            <v>66.7</v>
          </cell>
          <cell r="CT390">
            <v>60</v>
          </cell>
          <cell r="CU390">
            <v>54</v>
          </cell>
          <cell r="CV390">
            <v>48.6</v>
          </cell>
          <cell r="CW390">
            <v>43.8</v>
          </cell>
          <cell r="CX390" t="str">
            <v>--</v>
          </cell>
          <cell r="CY390" t="str">
            <v>--</v>
          </cell>
          <cell r="CZ390" t="str">
            <v>--</v>
          </cell>
          <cell r="DA390" t="str">
            <v>--</v>
          </cell>
          <cell r="DB390" t="str">
            <v>--</v>
          </cell>
          <cell r="DC390" t="str">
            <v>--</v>
          </cell>
          <cell r="DD390" t="str">
            <v>--</v>
          </cell>
          <cell r="DE390" t="str">
            <v>--</v>
          </cell>
          <cell r="DF390" t="str">
            <v>--</v>
          </cell>
          <cell r="DG390">
            <v>0</v>
          </cell>
          <cell r="DH390">
            <v>1</v>
          </cell>
          <cell r="DI390">
            <v>0</v>
          </cell>
          <cell r="DJ390">
            <v>1</v>
          </cell>
          <cell r="DK390">
            <v>2.2999999999999998</v>
          </cell>
          <cell r="DL390">
            <v>2.5</v>
          </cell>
          <cell r="DM390">
            <v>2.8</v>
          </cell>
          <cell r="DN390">
            <v>3.1</v>
          </cell>
          <cell r="DO390">
            <v>3.4</v>
          </cell>
          <cell r="DP390">
            <v>2.2999999999999998</v>
          </cell>
          <cell r="DQ390">
            <v>2.5</v>
          </cell>
          <cell r="DR390">
            <v>2.2999999999999998</v>
          </cell>
          <cell r="DS390">
            <v>2.5</v>
          </cell>
          <cell r="DT390">
            <v>2.4</v>
          </cell>
          <cell r="DU390">
            <v>2.6</v>
          </cell>
          <cell r="DV390">
            <v>2.9</v>
          </cell>
          <cell r="DW390">
            <v>3.2</v>
          </cell>
          <cell r="DX390">
            <v>3.5</v>
          </cell>
          <cell r="DY390" t="str">
            <v>--</v>
          </cell>
          <cell r="DZ390" t="str">
            <v>--</v>
          </cell>
          <cell r="EA390" t="str">
            <v>--</v>
          </cell>
          <cell r="EB390" t="str">
            <v>--</v>
          </cell>
          <cell r="EC390" t="str">
            <v>--</v>
          </cell>
          <cell r="ED390" t="str">
            <v>--</v>
          </cell>
          <cell r="EE390" t="str">
            <v>--</v>
          </cell>
          <cell r="EF390" t="str">
            <v>--</v>
          </cell>
          <cell r="EG390" t="str">
            <v>--</v>
          </cell>
        </row>
        <row r="391">
          <cell r="A391" t="str">
            <v>03480035Low income</v>
          </cell>
          <cell r="B391" t="str">
            <v>03480035F</v>
          </cell>
          <cell r="C391" t="str">
            <v>0348</v>
          </cell>
          <cell r="D391" t="str">
            <v>03480035</v>
          </cell>
          <cell r="E391" t="str">
            <v>Worcester</v>
          </cell>
          <cell r="F391" t="str">
            <v>Burncoat Street</v>
          </cell>
          <cell r="G391" t="str">
            <v>ES</v>
          </cell>
          <cell r="H391" t="str">
            <v>Worcester - Burncoat Street (03480035)</v>
          </cell>
          <cell r="I391" t="str">
            <v>Low income</v>
          </cell>
          <cell r="J391" t="str">
            <v>03480035Low income</v>
          </cell>
          <cell r="K391" t="str">
            <v>--</v>
          </cell>
          <cell r="L391">
            <v>58.9</v>
          </cell>
          <cell r="M391">
            <v>62.3</v>
          </cell>
          <cell r="N391">
            <v>52.7</v>
          </cell>
          <cell r="O391">
            <v>65.8</v>
          </cell>
          <cell r="P391">
            <v>56.2</v>
          </cell>
          <cell r="Q391">
            <v>69.2</v>
          </cell>
          <cell r="R391">
            <v>72.599999999999994</v>
          </cell>
          <cell r="S391">
            <v>76</v>
          </cell>
          <cell r="T391">
            <v>79.5</v>
          </cell>
          <cell r="U391">
            <v>53.3</v>
          </cell>
          <cell r="V391">
            <v>57.2</v>
          </cell>
          <cell r="W391">
            <v>45.7</v>
          </cell>
          <cell r="X391">
            <v>61.1</v>
          </cell>
          <cell r="Y391">
            <v>50</v>
          </cell>
          <cell r="Z391">
            <v>65</v>
          </cell>
          <cell r="AA391">
            <v>68.900000000000006</v>
          </cell>
          <cell r="AB391">
            <v>72.8</v>
          </cell>
          <cell r="AC391">
            <v>76.7</v>
          </cell>
          <cell r="AD391">
            <v>38.4</v>
          </cell>
          <cell r="AE391">
            <v>43.5</v>
          </cell>
          <cell r="AF391">
            <v>37.5</v>
          </cell>
          <cell r="AG391">
            <v>48.7</v>
          </cell>
          <cell r="AH391">
            <v>55.4</v>
          </cell>
          <cell r="AI391">
            <v>53.8</v>
          </cell>
          <cell r="AJ391">
            <v>58.9</v>
          </cell>
          <cell r="AK391">
            <v>64.099999999999994</v>
          </cell>
          <cell r="AL391">
            <v>69.2</v>
          </cell>
          <cell r="AM391" t="str">
            <v>--</v>
          </cell>
          <cell r="AN391" t="str">
            <v>--</v>
          </cell>
          <cell r="AO391" t="str">
            <v>--</v>
          </cell>
          <cell r="AP391" t="str">
            <v>--</v>
          </cell>
          <cell r="AQ391" t="str">
            <v>--</v>
          </cell>
          <cell r="AR391" t="str">
            <v>--</v>
          </cell>
          <cell r="AS391" t="str">
            <v>--</v>
          </cell>
          <cell r="AT391" t="str">
            <v>--</v>
          </cell>
          <cell r="AU391" t="str">
            <v>--</v>
          </cell>
          <cell r="AV391" t="str">
            <v>--</v>
          </cell>
          <cell r="AW391" t="str">
            <v>--</v>
          </cell>
          <cell r="AX391" t="str">
            <v>--</v>
          </cell>
          <cell r="AY391" t="str">
            <v>--</v>
          </cell>
          <cell r="AZ391" t="str">
            <v>--</v>
          </cell>
          <cell r="BA391" t="str">
            <v>--</v>
          </cell>
          <cell r="BB391" t="str">
            <v>--</v>
          </cell>
          <cell r="BC391" t="str">
            <v>--</v>
          </cell>
          <cell r="BD391" t="str">
            <v>--</v>
          </cell>
          <cell r="BE391" t="str">
            <v>--</v>
          </cell>
          <cell r="BF391" t="str">
            <v>--</v>
          </cell>
          <cell r="BG391" t="str">
            <v>--</v>
          </cell>
          <cell r="BH391" t="str">
            <v>--</v>
          </cell>
          <cell r="BI391" t="str">
            <v>--</v>
          </cell>
          <cell r="BJ391" t="str">
            <v>--</v>
          </cell>
          <cell r="BK391" t="str">
            <v>--</v>
          </cell>
          <cell r="BL391" t="str">
            <v>--</v>
          </cell>
          <cell r="BM391" t="str">
            <v>--</v>
          </cell>
          <cell r="BN391">
            <v>29</v>
          </cell>
          <cell r="BO391">
            <v>39</v>
          </cell>
          <cell r="BP391">
            <v>36</v>
          </cell>
          <cell r="BQ391">
            <v>46</v>
          </cell>
          <cell r="BR391">
            <v>49</v>
          </cell>
          <cell r="BS391">
            <v>51</v>
          </cell>
          <cell r="BT391">
            <v>51</v>
          </cell>
          <cell r="BU391">
            <v>51</v>
          </cell>
          <cell r="BV391">
            <v>51</v>
          </cell>
          <cell r="BW391">
            <v>17</v>
          </cell>
          <cell r="BX391">
            <v>27</v>
          </cell>
          <cell r="BY391">
            <v>31.5</v>
          </cell>
          <cell r="BZ391">
            <v>41.5</v>
          </cell>
          <cell r="CA391">
            <v>41</v>
          </cell>
          <cell r="CB391">
            <v>51</v>
          </cell>
          <cell r="CC391">
            <v>51</v>
          </cell>
          <cell r="CD391">
            <v>51</v>
          </cell>
          <cell r="CE391">
            <v>51</v>
          </cell>
          <cell r="CF391">
            <v>33.299999999999997</v>
          </cell>
          <cell r="CG391">
            <v>30</v>
          </cell>
          <cell r="CH391">
            <v>46.2</v>
          </cell>
          <cell r="CI391">
            <v>41.6</v>
          </cell>
          <cell r="CJ391">
            <v>30.9</v>
          </cell>
          <cell r="CK391">
            <v>27.8</v>
          </cell>
          <cell r="CL391">
            <v>25</v>
          </cell>
          <cell r="CM391">
            <v>22.5</v>
          </cell>
          <cell r="CN391">
            <v>20.3</v>
          </cell>
          <cell r="CO391">
            <v>41.1</v>
          </cell>
          <cell r="CP391">
            <v>37</v>
          </cell>
          <cell r="CQ391">
            <v>55.3</v>
          </cell>
          <cell r="CR391">
            <v>49.8</v>
          </cell>
          <cell r="CS391">
            <v>44.2</v>
          </cell>
          <cell r="CT391">
            <v>39.799999999999997</v>
          </cell>
          <cell r="CU391">
            <v>35.799999999999997</v>
          </cell>
          <cell r="CV391">
            <v>32.200000000000003</v>
          </cell>
          <cell r="CW391">
            <v>29</v>
          </cell>
          <cell r="CX391">
            <v>64.3</v>
          </cell>
          <cell r="CY391">
            <v>57.9</v>
          </cell>
          <cell r="CZ391">
            <v>73.099999999999994</v>
          </cell>
          <cell r="DA391">
            <v>65.8</v>
          </cell>
          <cell r="DB391">
            <v>35.700000000000003</v>
          </cell>
          <cell r="DC391">
            <v>65.8</v>
          </cell>
          <cell r="DD391">
            <v>59.2</v>
          </cell>
          <cell r="DE391">
            <v>53.3</v>
          </cell>
          <cell r="DF391">
            <v>48</v>
          </cell>
          <cell r="DG391">
            <v>1.1000000000000001</v>
          </cell>
          <cell r="DH391">
            <v>1.2</v>
          </cell>
          <cell r="DI391">
            <v>0</v>
          </cell>
          <cell r="DJ391">
            <v>1</v>
          </cell>
          <cell r="DK391">
            <v>1</v>
          </cell>
          <cell r="DL391">
            <v>1.1000000000000001</v>
          </cell>
          <cell r="DM391">
            <v>1.2</v>
          </cell>
          <cell r="DN391">
            <v>1.3</v>
          </cell>
          <cell r="DO391">
            <v>1.5</v>
          </cell>
          <cell r="DP391">
            <v>10</v>
          </cell>
          <cell r="DQ391">
            <v>11</v>
          </cell>
          <cell r="DR391">
            <v>6.4</v>
          </cell>
          <cell r="DS391">
            <v>7</v>
          </cell>
          <cell r="DT391">
            <v>2.1</v>
          </cell>
          <cell r="DU391">
            <v>2.2999999999999998</v>
          </cell>
          <cell r="DV391">
            <v>2.5</v>
          </cell>
          <cell r="DW391">
            <v>2.8</v>
          </cell>
          <cell r="DX391">
            <v>3.1</v>
          </cell>
          <cell r="DY391">
            <v>3.6</v>
          </cell>
          <cell r="DZ391">
            <v>4</v>
          </cell>
          <cell r="EA391">
            <v>0</v>
          </cell>
          <cell r="EB391">
            <v>1</v>
          </cell>
          <cell r="EC391">
            <v>7.1</v>
          </cell>
          <cell r="ED391">
            <v>1</v>
          </cell>
          <cell r="EE391">
            <v>1.1000000000000001</v>
          </cell>
          <cell r="EF391">
            <v>1.2</v>
          </cell>
          <cell r="EG391">
            <v>1.3</v>
          </cell>
        </row>
        <row r="392">
          <cell r="A392" t="str">
            <v>03480035Hispanic/Latino</v>
          </cell>
          <cell r="B392" t="str">
            <v>03480035H</v>
          </cell>
          <cell r="C392" t="str">
            <v>0348</v>
          </cell>
          <cell r="D392" t="str">
            <v>03480035</v>
          </cell>
          <cell r="E392" t="str">
            <v>Worcester</v>
          </cell>
          <cell r="F392" t="str">
            <v>Burncoat Street</v>
          </cell>
          <cell r="G392" t="str">
            <v>ES</v>
          </cell>
          <cell r="H392" t="str">
            <v>Worcester - Burncoat Street (03480035)</v>
          </cell>
          <cell r="I392" t="str">
            <v>Hispanic/Latino</v>
          </cell>
          <cell r="J392" t="str">
            <v>03480035Hispanic/Latino</v>
          </cell>
          <cell r="K392" t="str">
            <v>--</v>
          </cell>
          <cell r="L392">
            <v>53</v>
          </cell>
          <cell r="M392">
            <v>56.9</v>
          </cell>
          <cell r="N392">
            <v>49.6</v>
          </cell>
          <cell r="O392">
            <v>60.8</v>
          </cell>
          <cell r="P392">
            <v>52.1</v>
          </cell>
          <cell r="Q392">
            <v>64.8</v>
          </cell>
          <cell r="R392">
            <v>68.7</v>
          </cell>
          <cell r="S392">
            <v>72.599999999999994</v>
          </cell>
          <cell r="T392">
            <v>76.5</v>
          </cell>
          <cell r="U392">
            <v>48.7</v>
          </cell>
          <cell r="V392">
            <v>53</v>
          </cell>
          <cell r="W392">
            <v>43.9</v>
          </cell>
          <cell r="X392">
            <v>57.3</v>
          </cell>
          <cell r="Y392">
            <v>48.6</v>
          </cell>
          <cell r="Z392">
            <v>61.5</v>
          </cell>
          <cell r="AA392">
            <v>65.8</v>
          </cell>
          <cell r="AB392">
            <v>70.099999999999994</v>
          </cell>
          <cell r="AC392">
            <v>74.400000000000006</v>
          </cell>
          <cell r="AD392">
            <v>31.3</v>
          </cell>
          <cell r="AE392" t="str">
            <v>--</v>
          </cell>
          <cell r="AF392">
            <v>31.3</v>
          </cell>
          <cell r="AG392">
            <v>37</v>
          </cell>
          <cell r="AH392">
            <v>50</v>
          </cell>
          <cell r="AI392">
            <v>42.8</v>
          </cell>
          <cell r="AJ392">
            <v>48.5</v>
          </cell>
          <cell r="AK392">
            <v>54.2</v>
          </cell>
          <cell r="AL392">
            <v>59.9</v>
          </cell>
          <cell r="AM392" t="str">
            <v>--</v>
          </cell>
          <cell r="AN392" t="str">
            <v>--</v>
          </cell>
          <cell r="AO392" t="str">
            <v>--</v>
          </cell>
          <cell r="AP392" t="str">
            <v>--</v>
          </cell>
          <cell r="AQ392" t="str">
            <v>--</v>
          </cell>
          <cell r="AR392" t="str">
            <v>--</v>
          </cell>
          <cell r="AS392" t="str">
            <v>--</v>
          </cell>
          <cell r="AT392" t="str">
            <v>--</v>
          </cell>
          <cell r="AU392" t="str">
            <v>--</v>
          </cell>
          <cell r="AV392" t="str">
            <v>--</v>
          </cell>
          <cell r="AW392" t="str">
            <v>--</v>
          </cell>
          <cell r="AX392" t="str">
            <v>--</v>
          </cell>
          <cell r="AY392" t="str">
            <v>--</v>
          </cell>
          <cell r="AZ392" t="str">
            <v>--</v>
          </cell>
          <cell r="BA392" t="str">
            <v>--</v>
          </cell>
          <cell r="BB392" t="str">
            <v>--</v>
          </cell>
          <cell r="BC392" t="str">
            <v>--</v>
          </cell>
          <cell r="BD392" t="str">
            <v>--</v>
          </cell>
          <cell r="BE392" t="str">
            <v>--</v>
          </cell>
          <cell r="BF392" t="str">
            <v>--</v>
          </cell>
          <cell r="BG392" t="str">
            <v>--</v>
          </cell>
          <cell r="BH392" t="str">
            <v>--</v>
          </cell>
          <cell r="BI392" t="str">
            <v>--</v>
          </cell>
          <cell r="BJ392" t="str">
            <v>--</v>
          </cell>
          <cell r="BK392" t="str">
            <v>--</v>
          </cell>
          <cell r="BL392" t="str">
            <v>--</v>
          </cell>
          <cell r="BM392" t="str">
            <v>--</v>
          </cell>
          <cell r="BN392">
            <v>26.5</v>
          </cell>
          <cell r="BO392">
            <v>36.5</v>
          </cell>
          <cell r="BP392">
            <v>33</v>
          </cell>
          <cell r="BQ392">
            <v>43</v>
          </cell>
          <cell r="BR392">
            <v>49</v>
          </cell>
          <cell r="BS392">
            <v>51</v>
          </cell>
          <cell r="BT392">
            <v>51</v>
          </cell>
          <cell r="BU392">
            <v>51</v>
          </cell>
          <cell r="BV392">
            <v>51</v>
          </cell>
          <cell r="BW392">
            <v>12</v>
          </cell>
          <cell r="BX392">
            <v>22</v>
          </cell>
          <cell r="BY392">
            <v>26</v>
          </cell>
          <cell r="BZ392">
            <v>36</v>
          </cell>
          <cell r="CA392">
            <v>39</v>
          </cell>
          <cell r="CB392">
            <v>49</v>
          </cell>
          <cell r="CC392">
            <v>51</v>
          </cell>
          <cell r="CD392">
            <v>51</v>
          </cell>
          <cell r="CE392">
            <v>51</v>
          </cell>
          <cell r="CF392">
            <v>39.700000000000003</v>
          </cell>
          <cell r="CG392">
            <v>35.700000000000003</v>
          </cell>
          <cell r="CH392">
            <v>50.8</v>
          </cell>
          <cell r="CI392">
            <v>45.7</v>
          </cell>
          <cell r="CJ392">
            <v>36.1</v>
          </cell>
          <cell r="CK392">
            <v>32.5</v>
          </cell>
          <cell r="CL392">
            <v>29.2</v>
          </cell>
          <cell r="CM392">
            <v>26.3</v>
          </cell>
          <cell r="CN392">
            <v>23.7</v>
          </cell>
          <cell r="CO392">
            <v>44.8</v>
          </cell>
          <cell r="CP392">
            <v>40.299999999999997</v>
          </cell>
          <cell r="CQ392">
            <v>56.1</v>
          </cell>
          <cell r="CR392">
            <v>50.5</v>
          </cell>
          <cell r="CS392">
            <v>45.7</v>
          </cell>
          <cell r="CT392">
            <v>41.1</v>
          </cell>
          <cell r="CU392">
            <v>37</v>
          </cell>
          <cell r="CV392">
            <v>33.299999999999997</v>
          </cell>
          <cell r="CW392">
            <v>30</v>
          </cell>
          <cell r="CX392">
            <v>63.2</v>
          </cell>
          <cell r="CY392" t="str">
            <v>--</v>
          </cell>
          <cell r="CZ392">
            <v>80</v>
          </cell>
          <cell r="DA392">
            <v>72</v>
          </cell>
          <cell r="DB392">
            <v>44.4</v>
          </cell>
          <cell r="DC392">
            <v>72</v>
          </cell>
          <cell r="DD392">
            <v>64.8</v>
          </cell>
          <cell r="DE392">
            <v>58.3</v>
          </cell>
          <cell r="DF392">
            <v>52.5</v>
          </cell>
          <cell r="DG392">
            <v>1.7</v>
          </cell>
          <cell r="DH392">
            <v>1.9</v>
          </cell>
          <cell r="DI392">
            <v>0</v>
          </cell>
          <cell r="DJ392">
            <v>1</v>
          </cell>
          <cell r="DK392">
            <v>0</v>
          </cell>
          <cell r="DL392">
            <v>1</v>
          </cell>
          <cell r="DM392">
            <v>1.1000000000000001</v>
          </cell>
          <cell r="DN392">
            <v>1.2</v>
          </cell>
          <cell r="DO392">
            <v>1.3</v>
          </cell>
          <cell r="DP392">
            <v>8.6</v>
          </cell>
          <cell r="DQ392">
            <v>9.5</v>
          </cell>
          <cell r="DR392">
            <v>3</v>
          </cell>
          <cell r="DS392">
            <v>3.3</v>
          </cell>
          <cell r="DT392">
            <v>0</v>
          </cell>
          <cell r="DU392">
            <v>1</v>
          </cell>
          <cell r="DV392">
            <v>1.1000000000000001</v>
          </cell>
          <cell r="DW392">
            <v>1.2</v>
          </cell>
          <cell r="DX392">
            <v>1.3</v>
          </cell>
          <cell r="DY392">
            <v>5.3</v>
          </cell>
          <cell r="DZ392" t="str">
            <v>--</v>
          </cell>
          <cell r="EA392">
            <v>0</v>
          </cell>
          <cell r="EB392">
            <v>1</v>
          </cell>
          <cell r="EC392">
            <v>0</v>
          </cell>
          <cell r="ED392">
            <v>1</v>
          </cell>
          <cell r="EE392">
            <v>1.1000000000000001</v>
          </cell>
          <cell r="EF392">
            <v>1.2</v>
          </cell>
          <cell r="EG392">
            <v>1.3</v>
          </cell>
        </row>
        <row r="393">
          <cell r="A393" t="str">
            <v>03480035ELL and Former ELL</v>
          </cell>
          <cell r="B393" t="str">
            <v>03480035L</v>
          </cell>
          <cell r="C393" t="str">
            <v>0348</v>
          </cell>
          <cell r="D393" t="str">
            <v>03480035</v>
          </cell>
          <cell r="E393" t="str">
            <v>Worcester</v>
          </cell>
          <cell r="F393" t="str">
            <v>Burncoat Street</v>
          </cell>
          <cell r="G393" t="str">
            <v>ES</v>
          </cell>
          <cell r="H393" t="str">
            <v>Worcester - Burncoat Street (03480035)</v>
          </cell>
          <cell r="I393" t="str">
            <v>ELL and Former ELL</v>
          </cell>
          <cell r="J393" t="str">
            <v>03480035ELL and Former ELL</v>
          </cell>
          <cell r="K393" t="str">
            <v>--</v>
          </cell>
          <cell r="L393">
            <v>56.8</v>
          </cell>
          <cell r="M393">
            <v>60.4</v>
          </cell>
          <cell r="N393">
            <v>51.4</v>
          </cell>
          <cell r="O393">
            <v>64</v>
          </cell>
          <cell r="P393">
            <v>50</v>
          </cell>
          <cell r="Q393">
            <v>67.599999999999994</v>
          </cell>
          <cell r="R393">
            <v>71.2</v>
          </cell>
          <cell r="S393">
            <v>74.8</v>
          </cell>
          <cell r="T393">
            <v>78.400000000000006</v>
          </cell>
          <cell r="U393">
            <v>50.5</v>
          </cell>
          <cell r="V393">
            <v>54.6</v>
          </cell>
          <cell r="W393">
            <v>43.9</v>
          </cell>
          <cell r="X393">
            <v>58.8</v>
          </cell>
          <cell r="Y393">
            <v>48.7</v>
          </cell>
          <cell r="Z393">
            <v>62.9</v>
          </cell>
          <cell r="AA393">
            <v>67</v>
          </cell>
          <cell r="AB393">
            <v>71.099999999999994</v>
          </cell>
          <cell r="AC393">
            <v>75.3</v>
          </cell>
          <cell r="AD393" t="str">
            <v>--</v>
          </cell>
          <cell r="AE393" t="str">
            <v>--</v>
          </cell>
          <cell r="AF393" t="str">
            <v>--</v>
          </cell>
          <cell r="AG393" t="str">
            <v>--</v>
          </cell>
          <cell r="AH393" t="str">
            <v>--</v>
          </cell>
          <cell r="AI393" t="str">
            <v>--</v>
          </cell>
          <cell r="AJ393" t="str">
            <v>--</v>
          </cell>
          <cell r="AK393" t="str">
            <v>--</v>
          </cell>
          <cell r="AL393" t="str">
            <v>--</v>
          </cell>
          <cell r="AM393" t="str">
            <v>--</v>
          </cell>
          <cell r="AN393" t="str">
            <v>--</v>
          </cell>
          <cell r="AO393" t="str">
            <v>--</v>
          </cell>
          <cell r="AP393" t="str">
            <v>--</v>
          </cell>
          <cell r="AQ393" t="str">
            <v>--</v>
          </cell>
          <cell r="AR393" t="str">
            <v>--</v>
          </cell>
          <cell r="AS393" t="str">
            <v>--</v>
          </cell>
          <cell r="AT393" t="str">
            <v>--</v>
          </cell>
          <cell r="AU393" t="str">
            <v>--</v>
          </cell>
          <cell r="AV393" t="str">
            <v>--</v>
          </cell>
          <cell r="AW393" t="str">
            <v>--</v>
          </cell>
          <cell r="AX393" t="str">
            <v>--</v>
          </cell>
          <cell r="AY393" t="str">
            <v>--</v>
          </cell>
          <cell r="AZ393" t="str">
            <v>--</v>
          </cell>
          <cell r="BA393" t="str">
            <v>--</v>
          </cell>
          <cell r="BB393" t="str">
            <v>--</v>
          </cell>
          <cell r="BC393" t="str">
            <v>--</v>
          </cell>
          <cell r="BD393" t="str">
            <v>--</v>
          </cell>
          <cell r="BE393" t="str">
            <v>--</v>
          </cell>
          <cell r="BF393" t="str">
            <v>--</v>
          </cell>
          <cell r="BG393" t="str">
            <v>--</v>
          </cell>
          <cell r="BH393" t="str">
            <v>--</v>
          </cell>
          <cell r="BI393" t="str">
            <v>--</v>
          </cell>
          <cell r="BJ393" t="str">
            <v>--</v>
          </cell>
          <cell r="BK393" t="str">
            <v>--</v>
          </cell>
          <cell r="BL393" t="str">
            <v>--</v>
          </cell>
          <cell r="BM393" t="str">
            <v>--</v>
          </cell>
          <cell r="BN393">
            <v>30</v>
          </cell>
          <cell r="BO393">
            <v>40</v>
          </cell>
          <cell r="BP393">
            <v>37</v>
          </cell>
          <cell r="BQ393">
            <v>47</v>
          </cell>
          <cell r="BR393">
            <v>52.5</v>
          </cell>
          <cell r="BS393">
            <v>51</v>
          </cell>
          <cell r="BT393">
            <v>51</v>
          </cell>
          <cell r="BU393">
            <v>51</v>
          </cell>
          <cell r="BV393">
            <v>51</v>
          </cell>
          <cell r="BW393">
            <v>12</v>
          </cell>
          <cell r="BX393">
            <v>22</v>
          </cell>
          <cell r="BY393">
            <v>32</v>
          </cell>
          <cell r="BZ393">
            <v>42</v>
          </cell>
          <cell r="CA393">
            <v>52</v>
          </cell>
          <cell r="CB393">
            <v>51</v>
          </cell>
          <cell r="CC393">
            <v>51</v>
          </cell>
          <cell r="CD393">
            <v>51</v>
          </cell>
          <cell r="CE393">
            <v>51</v>
          </cell>
          <cell r="CF393">
            <v>32.700000000000003</v>
          </cell>
          <cell r="CG393">
            <v>29.4</v>
          </cell>
          <cell r="CH393">
            <v>49.1</v>
          </cell>
          <cell r="CI393">
            <v>44.2</v>
          </cell>
          <cell r="CJ393">
            <v>37.5</v>
          </cell>
          <cell r="CK393">
            <v>33.799999999999997</v>
          </cell>
          <cell r="CL393">
            <v>30.4</v>
          </cell>
          <cell r="CM393">
            <v>27.3</v>
          </cell>
          <cell r="CN393">
            <v>24.6</v>
          </cell>
          <cell r="CO393">
            <v>45.5</v>
          </cell>
          <cell r="CP393">
            <v>41</v>
          </cell>
          <cell r="CQ393">
            <v>58.5</v>
          </cell>
          <cell r="CR393">
            <v>52.7</v>
          </cell>
          <cell r="CS393">
            <v>48.2</v>
          </cell>
          <cell r="CT393">
            <v>43.4</v>
          </cell>
          <cell r="CU393">
            <v>39</v>
          </cell>
          <cell r="CV393">
            <v>35.1</v>
          </cell>
          <cell r="CW393">
            <v>31.6</v>
          </cell>
          <cell r="CX393" t="str">
            <v>--</v>
          </cell>
          <cell r="CY393" t="str">
            <v>--</v>
          </cell>
          <cell r="CZ393" t="str">
            <v>--</v>
          </cell>
          <cell r="DA393" t="str">
            <v>--</v>
          </cell>
          <cell r="DB393" t="str">
            <v>--</v>
          </cell>
          <cell r="DC393" t="str">
            <v>--</v>
          </cell>
          <cell r="DD393" t="str">
            <v>--</v>
          </cell>
          <cell r="DE393" t="str">
            <v>--</v>
          </cell>
          <cell r="DF393" t="str">
            <v>--</v>
          </cell>
          <cell r="DG393">
            <v>1.8</v>
          </cell>
          <cell r="DH393">
            <v>2</v>
          </cell>
          <cell r="DI393">
            <v>0</v>
          </cell>
          <cell r="DJ393">
            <v>1</v>
          </cell>
          <cell r="DK393">
            <v>0</v>
          </cell>
          <cell r="DL393">
            <v>1</v>
          </cell>
          <cell r="DM393">
            <v>1.1000000000000001</v>
          </cell>
          <cell r="DN393">
            <v>1.2</v>
          </cell>
          <cell r="DO393">
            <v>1.3</v>
          </cell>
          <cell r="DP393">
            <v>12.7</v>
          </cell>
          <cell r="DQ393">
            <v>14</v>
          </cell>
          <cell r="DR393">
            <v>5.7</v>
          </cell>
          <cell r="DS393">
            <v>6.3</v>
          </cell>
          <cell r="DT393">
            <v>1.8</v>
          </cell>
          <cell r="DU393">
            <v>2</v>
          </cell>
          <cell r="DV393">
            <v>2.2000000000000002</v>
          </cell>
          <cell r="DW393">
            <v>2.4</v>
          </cell>
          <cell r="DX393">
            <v>2.6</v>
          </cell>
          <cell r="DY393" t="str">
            <v>--</v>
          </cell>
          <cell r="DZ393" t="str">
            <v>--</v>
          </cell>
          <cell r="EA393" t="str">
            <v>--</v>
          </cell>
          <cell r="EB393" t="str">
            <v>--</v>
          </cell>
          <cell r="EC393" t="str">
            <v>--</v>
          </cell>
          <cell r="ED393" t="str">
            <v>--</v>
          </cell>
          <cell r="EE393" t="str">
            <v>--</v>
          </cell>
          <cell r="EF393" t="str">
            <v>--</v>
          </cell>
          <cell r="EG393" t="str">
            <v>--</v>
          </cell>
        </row>
        <row r="394">
          <cell r="A394" t="str">
            <v>03480035Multi-race, Non-Hisp./Lat.</v>
          </cell>
          <cell r="B394" t="str">
            <v>03480035M</v>
          </cell>
          <cell r="C394" t="str">
            <v>0348</v>
          </cell>
          <cell r="D394" t="str">
            <v>03480035</v>
          </cell>
          <cell r="E394" t="str">
            <v>Worcester</v>
          </cell>
          <cell r="F394" t="str">
            <v>Burncoat Street</v>
          </cell>
          <cell r="G394" t="str">
            <v>ES</v>
          </cell>
          <cell r="H394" t="str">
            <v>Worcester - Burncoat Street (03480035)</v>
          </cell>
          <cell r="I394" t="str">
            <v>Multi-race, Non-Hisp./Lat.</v>
          </cell>
          <cell r="J394" t="str">
            <v>03480035Multi-race, Non-Hisp./Lat.</v>
          </cell>
          <cell r="K394" t="str">
            <v>Level 4</v>
          </cell>
          <cell r="L394" t="str">
            <v>--</v>
          </cell>
          <cell r="M394" t="str">
            <v>--</v>
          </cell>
          <cell r="N394" t="str">
            <v>--</v>
          </cell>
          <cell r="O394" t="str">
            <v>--</v>
          </cell>
          <cell r="P394" t="str">
            <v>--</v>
          </cell>
          <cell r="Q394" t="str">
            <v>--</v>
          </cell>
          <cell r="R394" t="str">
            <v>--</v>
          </cell>
          <cell r="S394" t="str">
            <v>--</v>
          </cell>
          <cell r="T394" t="str">
            <v>--</v>
          </cell>
          <cell r="U394" t="str">
            <v>--</v>
          </cell>
          <cell r="V394" t="str">
            <v>--</v>
          </cell>
          <cell r="W394" t="str">
            <v>--</v>
          </cell>
          <cell r="X394" t="str">
            <v>--</v>
          </cell>
          <cell r="Y394" t="str">
            <v>--</v>
          </cell>
          <cell r="Z394" t="str">
            <v>--</v>
          </cell>
          <cell r="AA394" t="str">
            <v>--</v>
          </cell>
          <cell r="AB394" t="str">
            <v>--</v>
          </cell>
          <cell r="AC394" t="str">
            <v>--</v>
          </cell>
          <cell r="AD394" t="str">
            <v>--</v>
          </cell>
          <cell r="AE394" t="str">
            <v>--</v>
          </cell>
          <cell r="AF394" t="str">
            <v>--</v>
          </cell>
          <cell r="AG394" t="str">
            <v>--</v>
          </cell>
          <cell r="AH394" t="str">
            <v>--</v>
          </cell>
          <cell r="AI394" t="str">
            <v>--</v>
          </cell>
          <cell r="AJ394" t="str">
            <v>--</v>
          </cell>
          <cell r="AK394" t="str">
            <v>--</v>
          </cell>
          <cell r="AL394" t="str">
            <v>--</v>
          </cell>
          <cell r="AM394" t="str">
            <v>--</v>
          </cell>
          <cell r="AN394" t="str">
            <v>--</v>
          </cell>
          <cell r="AO394" t="str">
            <v>--</v>
          </cell>
          <cell r="AP394" t="str">
            <v>--</v>
          </cell>
          <cell r="AQ394" t="str">
            <v>--</v>
          </cell>
          <cell r="AR394" t="str">
            <v>--</v>
          </cell>
          <cell r="AS394" t="str">
            <v>--</v>
          </cell>
          <cell r="AT394" t="str">
            <v>--</v>
          </cell>
          <cell r="AU394" t="str">
            <v>--</v>
          </cell>
          <cell r="AV394" t="str">
            <v>--</v>
          </cell>
          <cell r="AW394" t="str">
            <v>--</v>
          </cell>
          <cell r="AX394" t="str">
            <v>--</v>
          </cell>
          <cell r="AY394" t="str">
            <v>--</v>
          </cell>
          <cell r="AZ394" t="str">
            <v>--</v>
          </cell>
          <cell r="BA394" t="str">
            <v>--</v>
          </cell>
          <cell r="BB394" t="str">
            <v>--</v>
          </cell>
          <cell r="BC394" t="str">
            <v>--</v>
          </cell>
          <cell r="BD394" t="str">
            <v>--</v>
          </cell>
          <cell r="BE394" t="str">
            <v>--</v>
          </cell>
          <cell r="BF394" t="str">
            <v>--</v>
          </cell>
          <cell r="BG394" t="str">
            <v>--</v>
          </cell>
          <cell r="BH394" t="str">
            <v>--</v>
          </cell>
          <cell r="BI394" t="str">
            <v>--</v>
          </cell>
          <cell r="BJ394" t="str">
            <v>--</v>
          </cell>
          <cell r="BK394" t="str">
            <v>--</v>
          </cell>
          <cell r="BL394" t="str">
            <v>--</v>
          </cell>
          <cell r="BM394" t="str">
            <v>--</v>
          </cell>
          <cell r="BN394" t="str">
            <v>--</v>
          </cell>
          <cell r="BO394" t="str">
            <v>--</v>
          </cell>
          <cell r="BP394" t="str">
            <v>--</v>
          </cell>
          <cell r="BQ394" t="str">
            <v>--</v>
          </cell>
          <cell r="BR394" t="str">
            <v>--</v>
          </cell>
          <cell r="BS394" t="str">
            <v>--</v>
          </cell>
          <cell r="BT394" t="str">
            <v>--</v>
          </cell>
          <cell r="BU394" t="str">
            <v>--</v>
          </cell>
          <cell r="BV394" t="str">
            <v>--</v>
          </cell>
          <cell r="BW394" t="str">
            <v>--</v>
          </cell>
          <cell r="BX394" t="str">
            <v>--</v>
          </cell>
          <cell r="BY394" t="str">
            <v>--</v>
          </cell>
          <cell r="BZ394" t="str">
            <v>--</v>
          </cell>
          <cell r="CA394" t="str">
            <v>--</v>
          </cell>
          <cell r="CB394" t="str">
            <v>--</v>
          </cell>
          <cell r="CC394" t="str">
            <v>--</v>
          </cell>
          <cell r="CD394" t="str">
            <v>--</v>
          </cell>
          <cell r="CE394" t="str">
            <v>--</v>
          </cell>
          <cell r="CF394" t="str">
            <v>--</v>
          </cell>
          <cell r="CG394" t="str">
            <v>--</v>
          </cell>
          <cell r="CH394" t="str">
            <v>--</v>
          </cell>
          <cell r="CI394" t="str">
            <v>--</v>
          </cell>
          <cell r="CJ394" t="str">
            <v>--</v>
          </cell>
          <cell r="CK394" t="str">
            <v>--</v>
          </cell>
          <cell r="CL394" t="str">
            <v>--</v>
          </cell>
          <cell r="CM394" t="str">
            <v>--</v>
          </cell>
          <cell r="CN394" t="str">
            <v>--</v>
          </cell>
          <cell r="CO394" t="str">
            <v>--</v>
          </cell>
          <cell r="CP394" t="str">
            <v>--</v>
          </cell>
          <cell r="CQ394" t="str">
            <v>--</v>
          </cell>
          <cell r="CR394" t="str">
            <v>--</v>
          </cell>
          <cell r="CS394" t="str">
            <v>--</v>
          </cell>
          <cell r="CT394" t="str">
            <v>--</v>
          </cell>
          <cell r="CU394" t="str">
            <v>--</v>
          </cell>
          <cell r="CV394" t="str">
            <v>--</v>
          </cell>
          <cell r="CW394" t="str">
            <v>--</v>
          </cell>
          <cell r="CX394" t="str">
            <v>--</v>
          </cell>
          <cell r="CY394" t="str">
            <v>--</v>
          </cell>
          <cell r="CZ394" t="str">
            <v>--</v>
          </cell>
          <cell r="DA394" t="str">
            <v>--</v>
          </cell>
          <cell r="DB394" t="str">
            <v>--</v>
          </cell>
          <cell r="DC394" t="str">
            <v>--</v>
          </cell>
          <cell r="DD394" t="str">
            <v>--</v>
          </cell>
          <cell r="DE394" t="str">
            <v>--</v>
          </cell>
          <cell r="DF394" t="str">
            <v>--</v>
          </cell>
          <cell r="DG394" t="str">
            <v>--</v>
          </cell>
          <cell r="DH394" t="str">
            <v>--</v>
          </cell>
          <cell r="DI394" t="str">
            <v>--</v>
          </cell>
          <cell r="DJ394" t="str">
            <v>--</v>
          </cell>
          <cell r="DK394" t="str">
            <v>--</v>
          </cell>
          <cell r="DL394" t="str">
            <v>--</v>
          </cell>
          <cell r="DM394" t="str">
            <v>--</v>
          </cell>
          <cell r="DN394" t="str">
            <v>--</v>
          </cell>
          <cell r="DO394" t="str">
            <v>--</v>
          </cell>
          <cell r="DP394" t="str">
            <v>--</v>
          </cell>
          <cell r="DQ394" t="str">
            <v>--</v>
          </cell>
          <cell r="DR394" t="str">
            <v>--</v>
          </cell>
          <cell r="DS394" t="str">
            <v>--</v>
          </cell>
          <cell r="DT394" t="str">
            <v>--</v>
          </cell>
          <cell r="DU394" t="str">
            <v>--</v>
          </cell>
          <cell r="DV394" t="str">
            <v>--</v>
          </cell>
          <cell r="DW394" t="str">
            <v>--</v>
          </cell>
          <cell r="DX394" t="str">
            <v>--</v>
          </cell>
          <cell r="DY394" t="str">
            <v>--</v>
          </cell>
          <cell r="DZ394" t="str">
            <v>--</v>
          </cell>
          <cell r="EA394" t="str">
            <v>--</v>
          </cell>
          <cell r="EB394" t="str">
            <v>--</v>
          </cell>
          <cell r="EC394" t="str">
            <v>--</v>
          </cell>
          <cell r="ED394" t="str">
            <v>--</v>
          </cell>
          <cell r="EE394" t="str">
            <v>--</v>
          </cell>
          <cell r="EF394" t="str">
            <v>--</v>
          </cell>
          <cell r="EG394" t="str">
            <v>--</v>
          </cell>
        </row>
        <row r="395">
          <cell r="A395" t="str">
            <v>03480035Amer. Ind. or Alaska Nat.</v>
          </cell>
          <cell r="B395" t="str">
            <v>03480035N</v>
          </cell>
          <cell r="C395" t="str">
            <v>0348</v>
          </cell>
          <cell r="D395" t="str">
            <v>03480035</v>
          </cell>
          <cell r="E395" t="str">
            <v>Worcester</v>
          </cell>
          <cell r="F395" t="str">
            <v>Burncoat Street</v>
          </cell>
          <cell r="G395" t="str">
            <v>ES</v>
          </cell>
          <cell r="H395" t="str">
            <v>Worcester - Burncoat Street (03480035)</v>
          </cell>
          <cell r="I395" t="str">
            <v>Amer. Ind. or Alaska Nat.</v>
          </cell>
          <cell r="J395" t="str">
            <v>03480035Amer. Ind. or Alaska Nat.</v>
          </cell>
          <cell r="K395" t="str">
            <v>--</v>
          </cell>
          <cell r="L395" t="str">
            <v>--</v>
          </cell>
          <cell r="M395" t="str">
            <v>--</v>
          </cell>
          <cell r="N395" t="str">
            <v>--</v>
          </cell>
          <cell r="O395" t="str">
            <v>--</v>
          </cell>
          <cell r="P395" t="str">
            <v>--</v>
          </cell>
          <cell r="Q395" t="str">
            <v>--</v>
          </cell>
          <cell r="R395" t="str">
            <v>--</v>
          </cell>
          <cell r="S395" t="str">
            <v>--</v>
          </cell>
          <cell r="T395" t="str">
            <v>--</v>
          </cell>
          <cell r="U395" t="str">
            <v>--</v>
          </cell>
          <cell r="V395" t="str">
            <v>--</v>
          </cell>
          <cell r="W395" t="str">
            <v>--</v>
          </cell>
          <cell r="X395" t="str">
            <v>--</v>
          </cell>
          <cell r="Y395" t="str">
            <v>--</v>
          </cell>
          <cell r="Z395" t="str">
            <v>--</v>
          </cell>
          <cell r="AA395" t="str">
            <v>--</v>
          </cell>
          <cell r="AB395" t="str">
            <v>--</v>
          </cell>
          <cell r="AC395" t="str">
            <v>--</v>
          </cell>
          <cell r="AD395" t="str">
            <v>--</v>
          </cell>
          <cell r="AE395" t="str">
            <v>--</v>
          </cell>
          <cell r="AF395" t="str">
            <v>--</v>
          </cell>
          <cell r="AG395" t="str">
            <v>--</v>
          </cell>
          <cell r="AH395" t="str">
            <v>--</v>
          </cell>
          <cell r="AI395" t="str">
            <v>--</v>
          </cell>
          <cell r="AJ395" t="str">
            <v>--</v>
          </cell>
          <cell r="AK395" t="str">
            <v>--</v>
          </cell>
          <cell r="AL395" t="str">
            <v>--</v>
          </cell>
          <cell r="AM395" t="str">
            <v>--</v>
          </cell>
          <cell r="AN395" t="str">
            <v>--</v>
          </cell>
          <cell r="AO395" t="str">
            <v>--</v>
          </cell>
          <cell r="AP395" t="str">
            <v>--</v>
          </cell>
          <cell r="AQ395" t="str">
            <v>--</v>
          </cell>
          <cell r="AR395" t="str">
            <v>--</v>
          </cell>
          <cell r="AS395" t="str">
            <v>--</v>
          </cell>
          <cell r="AT395" t="str">
            <v>--</v>
          </cell>
          <cell r="AU395" t="str">
            <v>--</v>
          </cell>
          <cell r="AV395" t="str">
            <v>--</v>
          </cell>
          <cell r="AW395" t="str">
            <v>--</v>
          </cell>
          <cell r="AX395" t="str">
            <v>--</v>
          </cell>
          <cell r="AY395" t="str">
            <v>--</v>
          </cell>
          <cell r="AZ395" t="str">
            <v>--</v>
          </cell>
          <cell r="BA395" t="str">
            <v>--</v>
          </cell>
          <cell r="BB395" t="str">
            <v>--</v>
          </cell>
          <cell r="BC395" t="str">
            <v>--</v>
          </cell>
          <cell r="BD395" t="str">
            <v>--</v>
          </cell>
          <cell r="BE395" t="str">
            <v>--</v>
          </cell>
          <cell r="BF395" t="str">
            <v>--</v>
          </cell>
          <cell r="BG395" t="str">
            <v>--</v>
          </cell>
          <cell r="BH395" t="str">
            <v>--</v>
          </cell>
          <cell r="BI395" t="str">
            <v>--</v>
          </cell>
          <cell r="BJ395" t="str">
            <v>--</v>
          </cell>
          <cell r="BK395" t="str">
            <v>--</v>
          </cell>
          <cell r="BL395" t="str">
            <v>--</v>
          </cell>
          <cell r="BM395" t="str">
            <v>--</v>
          </cell>
          <cell r="BN395" t="str">
            <v>--</v>
          </cell>
          <cell r="BO395" t="str">
            <v>--</v>
          </cell>
          <cell r="BP395" t="str">
            <v>--</v>
          </cell>
          <cell r="BQ395" t="str">
            <v>--</v>
          </cell>
          <cell r="BR395" t="str">
            <v>--</v>
          </cell>
          <cell r="BS395" t="str">
            <v>--</v>
          </cell>
          <cell r="BT395" t="str">
            <v>--</v>
          </cell>
          <cell r="BU395" t="str">
            <v>--</v>
          </cell>
          <cell r="BV395" t="str">
            <v>--</v>
          </cell>
          <cell r="BW395" t="str">
            <v>--</v>
          </cell>
          <cell r="BX395" t="str">
            <v>--</v>
          </cell>
          <cell r="BY395" t="str">
            <v>--</v>
          </cell>
          <cell r="BZ395" t="str">
            <v>--</v>
          </cell>
          <cell r="CA395" t="str">
            <v>--</v>
          </cell>
          <cell r="CB395" t="str">
            <v>--</v>
          </cell>
          <cell r="CC395" t="str">
            <v>--</v>
          </cell>
          <cell r="CD395" t="str">
            <v>--</v>
          </cell>
          <cell r="CE395" t="str">
            <v>--</v>
          </cell>
          <cell r="CF395" t="str">
            <v>--</v>
          </cell>
          <cell r="CG395" t="str">
            <v>--</v>
          </cell>
          <cell r="CH395" t="str">
            <v>--</v>
          </cell>
          <cell r="CI395" t="str">
            <v>--</v>
          </cell>
          <cell r="CJ395" t="str">
            <v>--</v>
          </cell>
          <cell r="CK395" t="str">
            <v>--</v>
          </cell>
          <cell r="CL395" t="str">
            <v>--</v>
          </cell>
          <cell r="CM395" t="str">
            <v>--</v>
          </cell>
          <cell r="CN395" t="str">
            <v>--</v>
          </cell>
          <cell r="CO395" t="str">
            <v>--</v>
          </cell>
          <cell r="CP395" t="str">
            <v>--</v>
          </cell>
          <cell r="CQ395" t="str">
            <v>--</v>
          </cell>
          <cell r="CR395" t="str">
            <v>--</v>
          </cell>
          <cell r="CS395" t="str">
            <v>--</v>
          </cell>
          <cell r="CT395" t="str">
            <v>--</v>
          </cell>
          <cell r="CU395" t="str">
            <v>--</v>
          </cell>
          <cell r="CV395" t="str">
            <v>--</v>
          </cell>
          <cell r="CW395" t="str">
            <v>--</v>
          </cell>
          <cell r="CX395" t="str">
            <v>--</v>
          </cell>
          <cell r="CY395" t="str">
            <v>--</v>
          </cell>
          <cell r="CZ395" t="str">
            <v>--</v>
          </cell>
          <cell r="DA395" t="str">
            <v>--</v>
          </cell>
          <cell r="DB395" t="str">
            <v>--</v>
          </cell>
          <cell r="DC395" t="str">
            <v>--</v>
          </cell>
          <cell r="DD395" t="str">
            <v>--</v>
          </cell>
          <cell r="DE395" t="str">
            <v>--</v>
          </cell>
          <cell r="DF395" t="str">
            <v>--</v>
          </cell>
          <cell r="DG395" t="str">
            <v>--</v>
          </cell>
          <cell r="DH395" t="str">
            <v>--</v>
          </cell>
          <cell r="DI395" t="str">
            <v>--</v>
          </cell>
          <cell r="DJ395" t="str">
            <v>--</v>
          </cell>
          <cell r="DK395" t="str">
            <v>--</v>
          </cell>
          <cell r="DL395" t="str">
            <v>--</v>
          </cell>
          <cell r="DM395" t="str">
            <v>--</v>
          </cell>
          <cell r="DN395" t="str">
            <v>--</v>
          </cell>
          <cell r="DO395" t="str">
            <v>--</v>
          </cell>
          <cell r="DP395" t="str">
            <v>--</v>
          </cell>
          <cell r="DQ395" t="str">
            <v>--</v>
          </cell>
          <cell r="DR395" t="str">
            <v>--</v>
          </cell>
          <cell r="DS395" t="str">
            <v>--</v>
          </cell>
          <cell r="DT395" t="str">
            <v>--</v>
          </cell>
          <cell r="DU395" t="str">
            <v>--</v>
          </cell>
          <cell r="DV395" t="str">
            <v>--</v>
          </cell>
          <cell r="DW395" t="str">
            <v>--</v>
          </cell>
          <cell r="DX395" t="str">
            <v>--</v>
          </cell>
          <cell r="DY395" t="str">
            <v>--</v>
          </cell>
          <cell r="DZ395" t="str">
            <v>--</v>
          </cell>
          <cell r="EA395" t="str">
            <v>--</v>
          </cell>
          <cell r="EB395" t="str">
            <v>--</v>
          </cell>
          <cell r="EC395" t="str">
            <v>--</v>
          </cell>
          <cell r="ED395" t="str">
            <v>--</v>
          </cell>
          <cell r="EE395" t="str">
            <v>--</v>
          </cell>
          <cell r="EF395" t="str">
            <v>--</v>
          </cell>
          <cell r="EG395" t="str">
            <v>--</v>
          </cell>
        </row>
        <row r="396">
          <cell r="A396" t="str">
            <v>03480035Nat. Haw. or Pacif. Isl.</v>
          </cell>
          <cell r="B396" t="str">
            <v>03480035P</v>
          </cell>
          <cell r="C396" t="str">
            <v>0348</v>
          </cell>
          <cell r="D396" t="str">
            <v>03480035</v>
          </cell>
          <cell r="E396" t="str">
            <v>Worcester</v>
          </cell>
          <cell r="F396" t="str">
            <v>Burncoat Street</v>
          </cell>
          <cell r="G396" t="str">
            <v>ES</v>
          </cell>
          <cell r="H396" t="str">
            <v>Worcester - Burncoat Street (03480035)</v>
          </cell>
          <cell r="I396" t="str">
            <v>Nat. Haw. or Pacif. Isl.</v>
          </cell>
          <cell r="J396" t="str">
            <v>03480035Nat. Haw. or Pacif. Isl.</v>
          </cell>
          <cell r="K396" t="str">
            <v>Level 4</v>
          </cell>
          <cell r="L396" t="str">
            <v>--</v>
          </cell>
          <cell r="M396" t="str">
            <v>--</v>
          </cell>
          <cell r="N396" t="str">
            <v>--</v>
          </cell>
          <cell r="O396" t="str">
            <v>--</v>
          </cell>
          <cell r="P396" t="str">
            <v>--</v>
          </cell>
          <cell r="Q396" t="str">
            <v>--</v>
          </cell>
          <cell r="R396" t="str">
            <v>--</v>
          </cell>
          <cell r="S396" t="str">
            <v>--</v>
          </cell>
          <cell r="T396" t="str">
            <v>--</v>
          </cell>
          <cell r="U396" t="str">
            <v>--</v>
          </cell>
          <cell r="V396" t="str">
            <v>--</v>
          </cell>
          <cell r="W396" t="str">
            <v>--</v>
          </cell>
          <cell r="X396" t="str">
            <v>--</v>
          </cell>
          <cell r="Y396" t="str">
            <v>--</v>
          </cell>
          <cell r="Z396" t="str">
            <v>--</v>
          </cell>
          <cell r="AA396" t="str">
            <v>--</v>
          </cell>
          <cell r="AB396" t="str">
            <v>--</v>
          </cell>
          <cell r="AC396" t="str">
            <v>--</v>
          </cell>
          <cell r="AD396" t="str">
            <v>--</v>
          </cell>
          <cell r="AE396" t="str">
            <v>--</v>
          </cell>
          <cell r="AF396" t="str">
            <v>--</v>
          </cell>
          <cell r="AG396" t="str">
            <v>--</v>
          </cell>
          <cell r="AH396" t="str">
            <v>--</v>
          </cell>
          <cell r="AI396" t="str">
            <v>--</v>
          </cell>
          <cell r="AJ396" t="str">
            <v>--</v>
          </cell>
          <cell r="AK396" t="str">
            <v>--</v>
          </cell>
          <cell r="AL396" t="str">
            <v>--</v>
          </cell>
          <cell r="AM396" t="str">
            <v>--</v>
          </cell>
          <cell r="AN396" t="str">
            <v>--</v>
          </cell>
          <cell r="AO396" t="str">
            <v>--</v>
          </cell>
          <cell r="AP396" t="str">
            <v>--</v>
          </cell>
          <cell r="AQ396" t="str">
            <v>--</v>
          </cell>
          <cell r="AR396" t="str">
            <v>--</v>
          </cell>
          <cell r="AS396" t="str">
            <v>--</v>
          </cell>
          <cell r="AT396" t="str">
            <v>--</v>
          </cell>
          <cell r="AU396" t="str">
            <v>--</v>
          </cell>
          <cell r="AV396" t="str">
            <v>--</v>
          </cell>
          <cell r="AW396" t="str">
            <v>--</v>
          </cell>
          <cell r="AX396" t="str">
            <v>--</v>
          </cell>
          <cell r="AY396" t="str">
            <v>--</v>
          </cell>
          <cell r="AZ396" t="str">
            <v>--</v>
          </cell>
          <cell r="BA396" t="str">
            <v>--</v>
          </cell>
          <cell r="BB396" t="str">
            <v>--</v>
          </cell>
          <cell r="BC396" t="str">
            <v>--</v>
          </cell>
          <cell r="BD396" t="str">
            <v>--</v>
          </cell>
          <cell r="BE396" t="str">
            <v>--</v>
          </cell>
          <cell r="BF396" t="str">
            <v>--</v>
          </cell>
          <cell r="BG396" t="str">
            <v>--</v>
          </cell>
          <cell r="BH396" t="str">
            <v>--</v>
          </cell>
          <cell r="BI396" t="str">
            <v>--</v>
          </cell>
          <cell r="BJ396" t="str">
            <v>--</v>
          </cell>
          <cell r="BK396" t="str">
            <v>--</v>
          </cell>
          <cell r="BL396" t="str">
            <v>--</v>
          </cell>
          <cell r="BM396" t="str">
            <v>--</v>
          </cell>
          <cell r="BN396" t="str">
            <v>--</v>
          </cell>
          <cell r="BO396" t="str">
            <v>--</v>
          </cell>
          <cell r="BP396" t="str">
            <v>--</v>
          </cell>
          <cell r="BQ396" t="str">
            <v>--</v>
          </cell>
          <cell r="BR396" t="str">
            <v>--</v>
          </cell>
          <cell r="BS396" t="str">
            <v>--</v>
          </cell>
          <cell r="BT396" t="str">
            <v>--</v>
          </cell>
          <cell r="BU396" t="str">
            <v>--</v>
          </cell>
          <cell r="BV396" t="str">
            <v>--</v>
          </cell>
          <cell r="BW396" t="str">
            <v>--</v>
          </cell>
          <cell r="BX396" t="str">
            <v>--</v>
          </cell>
          <cell r="BY396" t="str">
            <v>--</v>
          </cell>
          <cell r="BZ396" t="str">
            <v>--</v>
          </cell>
          <cell r="CA396" t="str">
            <v>--</v>
          </cell>
          <cell r="CB396" t="str">
            <v>--</v>
          </cell>
          <cell r="CC396" t="str">
            <v>--</v>
          </cell>
          <cell r="CD396" t="str">
            <v>--</v>
          </cell>
          <cell r="CE396" t="str">
            <v>--</v>
          </cell>
          <cell r="CF396" t="str">
            <v>--</v>
          </cell>
          <cell r="CG396" t="str">
            <v>--</v>
          </cell>
          <cell r="CH396" t="str">
            <v>--</v>
          </cell>
          <cell r="CI396" t="str">
            <v>--</v>
          </cell>
          <cell r="CJ396" t="str">
            <v>--</v>
          </cell>
          <cell r="CK396" t="str">
            <v>--</v>
          </cell>
          <cell r="CL396" t="str">
            <v>--</v>
          </cell>
          <cell r="CM396" t="str">
            <v>--</v>
          </cell>
          <cell r="CN396" t="str">
            <v>--</v>
          </cell>
          <cell r="CO396" t="str">
            <v>--</v>
          </cell>
          <cell r="CP396" t="str">
            <v>--</v>
          </cell>
          <cell r="CQ396" t="str">
            <v>--</v>
          </cell>
          <cell r="CR396" t="str">
            <v>--</v>
          </cell>
          <cell r="CS396" t="str">
            <v>--</v>
          </cell>
          <cell r="CT396" t="str">
            <v>--</v>
          </cell>
          <cell r="CU396" t="str">
            <v>--</v>
          </cell>
          <cell r="CV396" t="str">
            <v>--</v>
          </cell>
          <cell r="CW396" t="str">
            <v>--</v>
          </cell>
          <cell r="CX396" t="str">
            <v>--</v>
          </cell>
          <cell r="CY396" t="str">
            <v>--</v>
          </cell>
          <cell r="CZ396" t="str">
            <v>--</v>
          </cell>
          <cell r="DA396" t="str">
            <v>--</v>
          </cell>
          <cell r="DB396" t="str">
            <v>--</v>
          </cell>
          <cell r="DC396" t="str">
            <v>--</v>
          </cell>
          <cell r="DD396" t="str">
            <v>--</v>
          </cell>
          <cell r="DE396" t="str">
            <v>--</v>
          </cell>
          <cell r="DF396" t="str">
            <v>--</v>
          </cell>
          <cell r="DG396" t="str">
            <v>--</v>
          </cell>
          <cell r="DH396" t="str">
            <v>--</v>
          </cell>
          <cell r="DI396" t="str">
            <v>--</v>
          </cell>
          <cell r="DJ396" t="str">
            <v>--</v>
          </cell>
          <cell r="DK396" t="str">
            <v>--</v>
          </cell>
          <cell r="DL396" t="str">
            <v>--</v>
          </cell>
          <cell r="DM396" t="str">
            <v>--</v>
          </cell>
          <cell r="DN396" t="str">
            <v>--</v>
          </cell>
          <cell r="DO396" t="str">
            <v>--</v>
          </cell>
          <cell r="DP396" t="str">
            <v>--</v>
          </cell>
          <cell r="DQ396" t="str">
            <v>--</v>
          </cell>
          <cell r="DR396" t="str">
            <v>--</v>
          </cell>
          <cell r="DS396" t="str">
            <v>--</v>
          </cell>
          <cell r="DT396" t="str">
            <v>--</v>
          </cell>
          <cell r="DU396" t="str">
            <v>--</v>
          </cell>
          <cell r="DV396" t="str">
            <v>--</v>
          </cell>
          <cell r="DW396" t="str">
            <v>--</v>
          </cell>
          <cell r="DX396" t="str">
            <v>--</v>
          </cell>
          <cell r="DY396" t="str">
            <v>--</v>
          </cell>
          <cell r="DZ396" t="str">
            <v>--</v>
          </cell>
          <cell r="EA396" t="str">
            <v>--</v>
          </cell>
          <cell r="EB396" t="str">
            <v>--</v>
          </cell>
          <cell r="EC396" t="str">
            <v>--</v>
          </cell>
          <cell r="ED396" t="str">
            <v>--</v>
          </cell>
          <cell r="EE396" t="str">
            <v>--</v>
          </cell>
          <cell r="EF396" t="str">
            <v>--</v>
          </cell>
          <cell r="EG396" t="str">
            <v>--</v>
          </cell>
        </row>
        <row r="397">
          <cell r="A397" t="str">
            <v>03480035High needs</v>
          </cell>
          <cell r="B397" t="str">
            <v>03480035S</v>
          </cell>
          <cell r="C397" t="str">
            <v>0348</v>
          </cell>
          <cell r="D397" t="str">
            <v>03480035</v>
          </cell>
          <cell r="E397" t="str">
            <v>Worcester</v>
          </cell>
          <cell r="F397" t="str">
            <v>Burncoat Street</v>
          </cell>
          <cell r="G397" t="str">
            <v>ES</v>
          </cell>
          <cell r="H397" t="str">
            <v>Worcester - Burncoat Street (03480035)</v>
          </cell>
          <cell r="I397" t="str">
            <v>High needs</v>
          </cell>
          <cell r="J397" t="str">
            <v>03480035High needs</v>
          </cell>
          <cell r="K397" t="str">
            <v>Level 4</v>
          </cell>
          <cell r="L397">
            <v>60.2</v>
          </cell>
          <cell r="M397">
            <v>63.5</v>
          </cell>
          <cell r="N397">
            <v>54.6</v>
          </cell>
          <cell r="O397">
            <v>66.8</v>
          </cell>
          <cell r="P397">
            <v>57.4</v>
          </cell>
          <cell r="Q397">
            <v>70.2</v>
          </cell>
          <cell r="R397">
            <v>73.5</v>
          </cell>
          <cell r="S397">
            <v>76.8</v>
          </cell>
          <cell r="T397">
            <v>80.099999999999994</v>
          </cell>
          <cell r="U397">
            <v>54.7</v>
          </cell>
          <cell r="V397">
            <v>58.5</v>
          </cell>
          <cell r="W397">
            <v>46.7</v>
          </cell>
          <cell r="X397">
            <v>62.3</v>
          </cell>
          <cell r="Y397">
            <v>51.3</v>
          </cell>
          <cell r="Z397">
            <v>66</v>
          </cell>
          <cell r="AA397">
            <v>69.8</v>
          </cell>
          <cell r="AB397">
            <v>73.599999999999994</v>
          </cell>
          <cell r="AC397">
            <v>77.400000000000006</v>
          </cell>
          <cell r="AD397">
            <v>40.5</v>
          </cell>
          <cell r="AE397">
            <v>45.5</v>
          </cell>
          <cell r="AF397">
            <v>39.299999999999997</v>
          </cell>
          <cell r="AG397">
            <v>50.4</v>
          </cell>
          <cell r="AH397">
            <v>53.3</v>
          </cell>
          <cell r="AI397">
            <v>55.4</v>
          </cell>
          <cell r="AJ397">
            <v>60.3</v>
          </cell>
          <cell r="AK397">
            <v>65.3</v>
          </cell>
          <cell r="AL397">
            <v>70.3</v>
          </cell>
          <cell r="AM397" t="str">
            <v>--</v>
          </cell>
          <cell r="AN397" t="str">
            <v>--</v>
          </cell>
          <cell r="AO397" t="str">
            <v>--</v>
          </cell>
          <cell r="AP397" t="str">
            <v>--</v>
          </cell>
          <cell r="AQ397" t="str">
            <v>--</v>
          </cell>
          <cell r="AR397" t="str">
            <v>--</v>
          </cell>
          <cell r="AS397" t="str">
            <v>--</v>
          </cell>
          <cell r="AT397" t="str">
            <v>--</v>
          </cell>
          <cell r="AU397" t="str">
            <v>--</v>
          </cell>
          <cell r="AV397" t="str">
            <v>--</v>
          </cell>
          <cell r="AW397" t="str">
            <v>--</v>
          </cell>
          <cell r="AX397" t="str">
            <v>--</v>
          </cell>
          <cell r="AY397" t="str">
            <v>--</v>
          </cell>
          <cell r="AZ397" t="str">
            <v>--</v>
          </cell>
          <cell r="BA397" t="str">
            <v>--</v>
          </cell>
          <cell r="BB397" t="str">
            <v>--</v>
          </cell>
          <cell r="BC397" t="str">
            <v>--</v>
          </cell>
          <cell r="BD397" t="str">
            <v>--</v>
          </cell>
          <cell r="BE397" t="str">
            <v>--</v>
          </cell>
          <cell r="BF397" t="str">
            <v>--</v>
          </cell>
          <cell r="BG397" t="str">
            <v>--</v>
          </cell>
          <cell r="BH397" t="str">
            <v>--</v>
          </cell>
          <cell r="BI397" t="str">
            <v>--</v>
          </cell>
          <cell r="BJ397" t="str">
            <v>--</v>
          </cell>
          <cell r="BK397" t="str">
            <v>--</v>
          </cell>
          <cell r="BL397" t="str">
            <v>--</v>
          </cell>
          <cell r="BM397" t="str">
            <v>--</v>
          </cell>
          <cell r="BN397">
            <v>30</v>
          </cell>
          <cell r="BO397">
            <v>40</v>
          </cell>
          <cell r="BP397">
            <v>34.5</v>
          </cell>
          <cell r="BQ397">
            <v>44.5</v>
          </cell>
          <cell r="BR397">
            <v>49</v>
          </cell>
          <cell r="BS397">
            <v>51</v>
          </cell>
          <cell r="BT397">
            <v>51</v>
          </cell>
          <cell r="BU397">
            <v>51</v>
          </cell>
          <cell r="BV397">
            <v>51</v>
          </cell>
          <cell r="BW397">
            <v>17.5</v>
          </cell>
          <cell r="BX397">
            <v>27.5</v>
          </cell>
          <cell r="BY397">
            <v>30</v>
          </cell>
          <cell r="BZ397">
            <v>40</v>
          </cell>
          <cell r="CA397">
            <v>41.5</v>
          </cell>
          <cell r="CB397">
            <v>51</v>
          </cell>
          <cell r="CC397">
            <v>51</v>
          </cell>
          <cell r="CD397">
            <v>51</v>
          </cell>
          <cell r="CE397">
            <v>51</v>
          </cell>
          <cell r="CF397">
            <v>32.299999999999997</v>
          </cell>
          <cell r="CG397">
            <v>29.1</v>
          </cell>
          <cell r="CH397">
            <v>43.9</v>
          </cell>
          <cell r="CI397">
            <v>39.5</v>
          </cell>
          <cell r="CJ397">
            <v>29.4</v>
          </cell>
          <cell r="CK397">
            <v>26.5</v>
          </cell>
          <cell r="CL397">
            <v>23.8</v>
          </cell>
          <cell r="CM397">
            <v>21.4</v>
          </cell>
          <cell r="CN397">
            <v>19.3</v>
          </cell>
          <cell r="CO397">
            <v>38.9</v>
          </cell>
          <cell r="CP397">
            <v>35</v>
          </cell>
          <cell r="CQ397">
            <v>53.5</v>
          </cell>
          <cell r="CR397">
            <v>48.2</v>
          </cell>
          <cell r="CS397">
            <v>43</v>
          </cell>
          <cell r="CT397">
            <v>38.700000000000003</v>
          </cell>
          <cell r="CU397">
            <v>34.799999999999997</v>
          </cell>
          <cell r="CV397">
            <v>31.3</v>
          </cell>
          <cell r="CW397">
            <v>28.2</v>
          </cell>
          <cell r="CX397">
            <v>62.1</v>
          </cell>
          <cell r="CY397">
            <v>55.9</v>
          </cell>
          <cell r="CZ397">
            <v>67.900000000000006</v>
          </cell>
          <cell r="DA397">
            <v>61.1</v>
          </cell>
          <cell r="DB397">
            <v>40</v>
          </cell>
          <cell r="DC397">
            <v>61.1</v>
          </cell>
          <cell r="DD397">
            <v>55</v>
          </cell>
          <cell r="DE397">
            <v>49.5</v>
          </cell>
          <cell r="DF397">
            <v>44.5</v>
          </cell>
          <cell r="DG397">
            <v>1.1000000000000001</v>
          </cell>
          <cell r="DH397">
            <v>1.2</v>
          </cell>
          <cell r="DI397">
            <v>0</v>
          </cell>
          <cell r="DJ397">
            <v>1</v>
          </cell>
          <cell r="DK397">
            <v>2</v>
          </cell>
          <cell r="DL397">
            <v>2.2000000000000002</v>
          </cell>
          <cell r="DM397">
            <v>2.4</v>
          </cell>
          <cell r="DN397">
            <v>2.7</v>
          </cell>
          <cell r="DO397">
            <v>2.9</v>
          </cell>
          <cell r="DP397">
            <v>11.6</v>
          </cell>
          <cell r="DQ397">
            <v>12.8</v>
          </cell>
          <cell r="DR397">
            <v>7.1</v>
          </cell>
          <cell r="DS397">
            <v>7.8</v>
          </cell>
          <cell r="DT397">
            <v>3</v>
          </cell>
          <cell r="DU397">
            <v>3.3</v>
          </cell>
          <cell r="DV397">
            <v>3.6</v>
          </cell>
          <cell r="DW397">
            <v>4</v>
          </cell>
          <cell r="DX397">
            <v>4.4000000000000004</v>
          </cell>
          <cell r="DY397">
            <v>3.4</v>
          </cell>
          <cell r="DZ397">
            <v>3.7</v>
          </cell>
          <cell r="EA397">
            <v>0</v>
          </cell>
          <cell r="EB397">
            <v>1</v>
          </cell>
          <cell r="EC397">
            <v>6.7</v>
          </cell>
          <cell r="ED397">
            <v>1</v>
          </cell>
          <cell r="EE397">
            <v>1.1000000000000001</v>
          </cell>
          <cell r="EF397">
            <v>1.2</v>
          </cell>
          <cell r="EG397">
            <v>1.3</v>
          </cell>
        </row>
        <row r="398">
          <cell r="A398" t="str">
            <v>03480035All students</v>
          </cell>
          <cell r="B398" t="str">
            <v>03480035T</v>
          </cell>
          <cell r="C398" t="str">
            <v>0348</v>
          </cell>
          <cell r="D398" t="str">
            <v>03480035</v>
          </cell>
          <cell r="E398" t="str">
            <v>Worcester</v>
          </cell>
          <cell r="F398" t="str">
            <v>Burncoat Street</v>
          </cell>
          <cell r="G398" t="str">
            <v>ES</v>
          </cell>
          <cell r="H398" t="str">
            <v>Worcester - Burncoat Street (03480035)</v>
          </cell>
          <cell r="I398" t="str">
            <v>All students</v>
          </cell>
          <cell r="J398" t="str">
            <v>03480035All students</v>
          </cell>
          <cell r="K398" t="str">
            <v>Level 4</v>
          </cell>
          <cell r="L398">
            <v>61.9</v>
          </cell>
          <cell r="M398">
            <v>65.099999999999994</v>
          </cell>
          <cell r="N398">
            <v>56.5</v>
          </cell>
          <cell r="O398">
            <v>68.3</v>
          </cell>
          <cell r="P398">
            <v>58.7</v>
          </cell>
          <cell r="Q398">
            <v>71.400000000000006</v>
          </cell>
          <cell r="R398">
            <v>74.599999999999994</v>
          </cell>
          <cell r="S398">
            <v>77.8</v>
          </cell>
          <cell r="T398">
            <v>81</v>
          </cell>
          <cell r="U398">
            <v>56.7</v>
          </cell>
          <cell r="V398">
            <v>60.3</v>
          </cell>
          <cell r="W398">
            <v>49</v>
          </cell>
          <cell r="X398">
            <v>63.9</v>
          </cell>
          <cell r="Y398">
            <v>52.4</v>
          </cell>
          <cell r="Z398">
            <v>67.5</v>
          </cell>
          <cell r="AA398">
            <v>71.099999999999994</v>
          </cell>
          <cell r="AB398">
            <v>74.7</v>
          </cell>
          <cell r="AC398">
            <v>78.400000000000006</v>
          </cell>
          <cell r="AD398">
            <v>40.5</v>
          </cell>
          <cell r="AE398">
            <v>45.5</v>
          </cell>
          <cell r="AF398">
            <v>41.7</v>
          </cell>
          <cell r="AG398">
            <v>50.4</v>
          </cell>
          <cell r="AH398">
            <v>53.3</v>
          </cell>
          <cell r="AI398">
            <v>55.4</v>
          </cell>
          <cell r="AJ398">
            <v>60.3</v>
          </cell>
          <cell r="AK398">
            <v>65.3</v>
          </cell>
          <cell r="AL398">
            <v>70.3</v>
          </cell>
          <cell r="AM398" t="str">
            <v>--</v>
          </cell>
          <cell r="AN398" t="str">
            <v>--</v>
          </cell>
          <cell r="AO398" t="str">
            <v>--</v>
          </cell>
          <cell r="AP398" t="str">
            <v>--</v>
          </cell>
          <cell r="AQ398" t="str">
            <v>--</v>
          </cell>
          <cell r="AR398" t="str">
            <v>--</v>
          </cell>
          <cell r="AS398" t="str">
            <v>--</v>
          </cell>
          <cell r="AT398" t="str">
            <v>--</v>
          </cell>
          <cell r="AU398" t="str">
            <v>--</v>
          </cell>
          <cell r="AV398" t="str">
            <v>--</v>
          </cell>
          <cell r="AW398" t="str">
            <v>--</v>
          </cell>
          <cell r="AX398" t="str">
            <v>--</v>
          </cell>
          <cell r="AY398" t="str">
            <v>--</v>
          </cell>
          <cell r="AZ398" t="str">
            <v>--</v>
          </cell>
          <cell r="BA398" t="str">
            <v>--</v>
          </cell>
          <cell r="BB398" t="str">
            <v>--</v>
          </cell>
          <cell r="BC398" t="str">
            <v>--</v>
          </cell>
          <cell r="BD398" t="str">
            <v>--</v>
          </cell>
          <cell r="BE398" t="str">
            <v>--</v>
          </cell>
          <cell r="BF398" t="str">
            <v>--</v>
          </cell>
          <cell r="BG398" t="str">
            <v>--</v>
          </cell>
          <cell r="BH398" t="str">
            <v>--</v>
          </cell>
          <cell r="BI398" t="str">
            <v>--</v>
          </cell>
          <cell r="BJ398" t="str">
            <v>--</v>
          </cell>
          <cell r="BK398" t="str">
            <v>--</v>
          </cell>
          <cell r="BL398" t="str">
            <v>--</v>
          </cell>
          <cell r="BM398" t="str">
            <v>--</v>
          </cell>
          <cell r="BN398">
            <v>30</v>
          </cell>
          <cell r="BO398">
            <v>40</v>
          </cell>
          <cell r="BP398">
            <v>37</v>
          </cell>
          <cell r="BQ398">
            <v>47</v>
          </cell>
          <cell r="BR398">
            <v>49</v>
          </cell>
          <cell r="BS398">
            <v>51</v>
          </cell>
          <cell r="BT398">
            <v>51</v>
          </cell>
          <cell r="BU398">
            <v>51</v>
          </cell>
          <cell r="BV398">
            <v>51</v>
          </cell>
          <cell r="BW398">
            <v>18</v>
          </cell>
          <cell r="BX398">
            <v>28</v>
          </cell>
          <cell r="BY398">
            <v>31</v>
          </cell>
          <cell r="BZ398">
            <v>41</v>
          </cell>
          <cell r="CA398">
            <v>41</v>
          </cell>
          <cell r="CB398">
            <v>51</v>
          </cell>
          <cell r="CC398">
            <v>51</v>
          </cell>
          <cell r="CD398">
            <v>51</v>
          </cell>
          <cell r="CE398">
            <v>51</v>
          </cell>
          <cell r="CF398">
            <v>30.3</v>
          </cell>
          <cell r="CG398">
            <v>27.3</v>
          </cell>
          <cell r="CH398">
            <v>41.3</v>
          </cell>
          <cell r="CI398">
            <v>37.200000000000003</v>
          </cell>
          <cell r="CJ398">
            <v>28.3</v>
          </cell>
          <cell r="CK398">
            <v>25.5</v>
          </cell>
          <cell r="CL398">
            <v>22.9</v>
          </cell>
          <cell r="CM398">
            <v>20.6</v>
          </cell>
          <cell r="CN398">
            <v>18.600000000000001</v>
          </cell>
          <cell r="CO398">
            <v>36.6</v>
          </cell>
          <cell r="CP398">
            <v>32.9</v>
          </cell>
          <cell r="CQ398">
            <v>50.5</v>
          </cell>
          <cell r="CR398">
            <v>45.5</v>
          </cell>
          <cell r="CS398">
            <v>41.3</v>
          </cell>
          <cell r="CT398">
            <v>37.200000000000003</v>
          </cell>
          <cell r="CU398">
            <v>33.5</v>
          </cell>
          <cell r="CV398">
            <v>30.1</v>
          </cell>
          <cell r="CW398">
            <v>27.1</v>
          </cell>
          <cell r="CX398">
            <v>62.1</v>
          </cell>
          <cell r="CY398">
            <v>55.9</v>
          </cell>
          <cell r="CZ398">
            <v>63.3</v>
          </cell>
          <cell r="DA398">
            <v>57</v>
          </cell>
          <cell r="DB398">
            <v>40</v>
          </cell>
          <cell r="DC398">
            <v>57</v>
          </cell>
          <cell r="DD398">
            <v>51.3</v>
          </cell>
          <cell r="DE398">
            <v>46.1</v>
          </cell>
          <cell r="DF398">
            <v>41.5</v>
          </cell>
          <cell r="DG398">
            <v>3</v>
          </cell>
          <cell r="DH398">
            <v>3.3</v>
          </cell>
          <cell r="DI398">
            <v>1</v>
          </cell>
          <cell r="DJ398">
            <v>1.1000000000000001</v>
          </cell>
          <cell r="DK398">
            <v>1.9</v>
          </cell>
          <cell r="DL398">
            <v>2.1</v>
          </cell>
          <cell r="DM398">
            <v>2.2999999999999998</v>
          </cell>
          <cell r="DN398">
            <v>2.5</v>
          </cell>
          <cell r="DO398">
            <v>2.8</v>
          </cell>
          <cell r="DP398">
            <v>12.9</v>
          </cell>
          <cell r="DQ398">
            <v>14.2</v>
          </cell>
          <cell r="DR398">
            <v>7.6</v>
          </cell>
          <cell r="DS398">
            <v>8.4</v>
          </cell>
          <cell r="DT398">
            <v>3.8</v>
          </cell>
          <cell r="DU398">
            <v>4.2</v>
          </cell>
          <cell r="DV398">
            <v>4.5999999999999996</v>
          </cell>
          <cell r="DW398">
            <v>5.0999999999999996</v>
          </cell>
          <cell r="DX398">
            <v>5.6</v>
          </cell>
          <cell r="DY398">
            <v>3.4</v>
          </cell>
          <cell r="DZ398">
            <v>3.7</v>
          </cell>
          <cell r="EA398">
            <v>3.3</v>
          </cell>
          <cell r="EB398">
            <v>3.6</v>
          </cell>
          <cell r="EC398">
            <v>6.7</v>
          </cell>
          <cell r="ED398">
            <v>3.6</v>
          </cell>
          <cell r="EE398">
            <v>4</v>
          </cell>
          <cell r="EF398">
            <v>4.4000000000000004</v>
          </cell>
          <cell r="EG398">
            <v>4.8</v>
          </cell>
        </row>
        <row r="399">
          <cell r="A399" t="str">
            <v>03480050Asian</v>
          </cell>
          <cell r="B399" t="str">
            <v>03480050A</v>
          </cell>
          <cell r="C399" t="str">
            <v>0348</v>
          </cell>
          <cell r="D399" t="str">
            <v>03480050</v>
          </cell>
          <cell r="E399" t="str">
            <v>Worcester</v>
          </cell>
          <cell r="F399" t="str">
            <v>Chandler Elementary Community</v>
          </cell>
          <cell r="G399" t="str">
            <v>ES</v>
          </cell>
          <cell r="H399" t="str">
            <v>Worcester - Chandler Elementary Community (03480050)</v>
          </cell>
          <cell r="I399" t="str">
            <v>Asian</v>
          </cell>
          <cell r="J399" t="str">
            <v>03480050Asian</v>
          </cell>
          <cell r="K399" t="str">
            <v>--</v>
          </cell>
          <cell r="L399" t="str">
            <v>--</v>
          </cell>
          <cell r="M399" t="str">
            <v>--</v>
          </cell>
          <cell r="N399" t="str">
            <v>--</v>
          </cell>
          <cell r="O399" t="str">
            <v>--</v>
          </cell>
          <cell r="P399" t="str">
            <v>--</v>
          </cell>
          <cell r="Q399" t="str">
            <v>--</v>
          </cell>
          <cell r="R399" t="str">
            <v>--</v>
          </cell>
          <cell r="S399" t="str">
            <v>--</v>
          </cell>
          <cell r="T399" t="str">
            <v>--</v>
          </cell>
          <cell r="U399" t="str">
            <v>--</v>
          </cell>
          <cell r="V399" t="str">
            <v>--</v>
          </cell>
          <cell r="W399" t="str">
            <v>--</v>
          </cell>
          <cell r="X399" t="str">
            <v>--</v>
          </cell>
          <cell r="Y399" t="str">
            <v>--</v>
          </cell>
          <cell r="Z399" t="str">
            <v>--</v>
          </cell>
          <cell r="AA399" t="str">
            <v>--</v>
          </cell>
          <cell r="AB399" t="str">
            <v>--</v>
          </cell>
          <cell r="AC399" t="str">
            <v>--</v>
          </cell>
          <cell r="AD399" t="str">
            <v>--</v>
          </cell>
          <cell r="AE399" t="str">
            <v>--</v>
          </cell>
          <cell r="AF399" t="str">
            <v>--</v>
          </cell>
          <cell r="AG399" t="str">
            <v>--</v>
          </cell>
          <cell r="AH399" t="str">
            <v>--</v>
          </cell>
          <cell r="AI399" t="str">
            <v>--</v>
          </cell>
          <cell r="AJ399" t="str">
            <v>--</v>
          </cell>
          <cell r="AK399" t="str">
            <v>--</v>
          </cell>
          <cell r="AL399" t="str">
            <v>--</v>
          </cell>
          <cell r="AM399" t="str">
            <v>--</v>
          </cell>
          <cell r="AN399" t="str">
            <v>--</v>
          </cell>
          <cell r="AO399" t="str">
            <v>--</v>
          </cell>
          <cell r="AP399" t="str">
            <v>--</v>
          </cell>
          <cell r="AQ399" t="str">
            <v>--</v>
          </cell>
          <cell r="AR399" t="str">
            <v>--</v>
          </cell>
          <cell r="AS399" t="str">
            <v>--</v>
          </cell>
          <cell r="AT399" t="str">
            <v>--</v>
          </cell>
          <cell r="AU399" t="str">
            <v>--</v>
          </cell>
          <cell r="AV399" t="str">
            <v>--</v>
          </cell>
          <cell r="AW399" t="str">
            <v>--</v>
          </cell>
          <cell r="AX399" t="str">
            <v>--</v>
          </cell>
          <cell r="AY399" t="str">
            <v>--</v>
          </cell>
          <cell r="AZ399" t="str">
            <v>--</v>
          </cell>
          <cell r="BA399" t="str">
            <v>--</v>
          </cell>
          <cell r="BB399" t="str">
            <v>--</v>
          </cell>
          <cell r="BC399" t="str">
            <v>--</v>
          </cell>
          <cell r="BD399" t="str">
            <v>--</v>
          </cell>
          <cell r="BE399" t="str">
            <v>--</v>
          </cell>
          <cell r="BF399" t="str">
            <v>--</v>
          </cell>
          <cell r="BG399" t="str">
            <v>--</v>
          </cell>
          <cell r="BH399" t="str">
            <v>--</v>
          </cell>
          <cell r="BI399" t="str">
            <v>--</v>
          </cell>
          <cell r="BJ399" t="str">
            <v>--</v>
          </cell>
          <cell r="BK399" t="str">
            <v>--</v>
          </cell>
          <cell r="BL399" t="str">
            <v>--</v>
          </cell>
          <cell r="BM399" t="str">
            <v>--</v>
          </cell>
          <cell r="BN399" t="str">
            <v>--</v>
          </cell>
          <cell r="BO399" t="str">
            <v>--</v>
          </cell>
          <cell r="BP399" t="str">
            <v>--</v>
          </cell>
          <cell r="BQ399" t="str">
            <v>--</v>
          </cell>
          <cell r="BR399" t="str">
            <v>--</v>
          </cell>
          <cell r="BS399" t="str">
            <v>--</v>
          </cell>
          <cell r="BT399" t="str">
            <v>--</v>
          </cell>
          <cell r="BU399" t="str">
            <v>--</v>
          </cell>
          <cell r="BV399" t="str">
            <v>--</v>
          </cell>
          <cell r="BW399" t="str">
            <v>--</v>
          </cell>
          <cell r="BX399" t="str">
            <v>--</v>
          </cell>
          <cell r="BY399" t="str">
            <v>--</v>
          </cell>
          <cell r="BZ399" t="str">
            <v>--</v>
          </cell>
          <cell r="CA399" t="str">
            <v>--</v>
          </cell>
          <cell r="CB399" t="str">
            <v>--</v>
          </cell>
          <cell r="CC399" t="str">
            <v>--</v>
          </cell>
          <cell r="CD399" t="str">
            <v>--</v>
          </cell>
          <cell r="CE399" t="str">
            <v>--</v>
          </cell>
          <cell r="CF399" t="str">
            <v>--</v>
          </cell>
          <cell r="CG399" t="str">
            <v>--</v>
          </cell>
          <cell r="CH399" t="str">
            <v>--</v>
          </cell>
          <cell r="CI399" t="str">
            <v>--</v>
          </cell>
          <cell r="CJ399" t="str">
            <v>--</v>
          </cell>
          <cell r="CK399" t="str">
            <v>--</v>
          </cell>
          <cell r="CL399" t="str">
            <v>--</v>
          </cell>
          <cell r="CM399" t="str">
            <v>--</v>
          </cell>
          <cell r="CN399" t="str">
            <v>--</v>
          </cell>
          <cell r="CO399" t="str">
            <v>--</v>
          </cell>
          <cell r="CP399" t="str">
            <v>--</v>
          </cell>
          <cell r="CQ399" t="str">
            <v>--</v>
          </cell>
          <cell r="CR399" t="str">
            <v>--</v>
          </cell>
          <cell r="CS399" t="str">
            <v>--</v>
          </cell>
          <cell r="CT399" t="str">
            <v>--</v>
          </cell>
          <cell r="CU399" t="str">
            <v>--</v>
          </cell>
          <cell r="CV399" t="str">
            <v>--</v>
          </cell>
          <cell r="CW399" t="str">
            <v>--</v>
          </cell>
          <cell r="CX399" t="str">
            <v>--</v>
          </cell>
          <cell r="CY399" t="str">
            <v>--</v>
          </cell>
          <cell r="CZ399" t="str">
            <v>--</v>
          </cell>
          <cell r="DA399" t="str">
            <v>--</v>
          </cell>
          <cell r="DB399" t="str">
            <v>--</v>
          </cell>
          <cell r="DC399" t="str">
            <v>--</v>
          </cell>
          <cell r="DD399" t="str">
            <v>--</v>
          </cell>
          <cell r="DE399" t="str">
            <v>--</v>
          </cell>
          <cell r="DF399" t="str">
            <v>--</v>
          </cell>
          <cell r="DG399" t="str">
            <v>--</v>
          </cell>
          <cell r="DH399" t="str">
            <v>--</v>
          </cell>
          <cell r="DI399" t="str">
            <v>--</v>
          </cell>
          <cell r="DJ399" t="str">
            <v>--</v>
          </cell>
          <cell r="DK399" t="str">
            <v>--</v>
          </cell>
          <cell r="DL399" t="str">
            <v>--</v>
          </cell>
          <cell r="DM399" t="str">
            <v>--</v>
          </cell>
          <cell r="DN399" t="str">
            <v>--</v>
          </cell>
          <cell r="DO399" t="str">
            <v>--</v>
          </cell>
          <cell r="DP399" t="str">
            <v>--</v>
          </cell>
          <cell r="DQ399" t="str">
            <v>--</v>
          </cell>
          <cell r="DR399" t="str">
            <v>--</v>
          </cell>
          <cell r="DS399" t="str">
            <v>--</v>
          </cell>
          <cell r="DT399" t="str">
            <v>--</v>
          </cell>
          <cell r="DU399" t="str">
            <v>--</v>
          </cell>
          <cell r="DV399" t="str">
            <v>--</v>
          </cell>
          <cell r="DW399" t="str">
            <v>--</v>
          </cell>
          <cell r="DX399" t="str">
            <v>--</v>
          </cell>
          <cell r="DY399" t="str">
            <v>--</v>
          </cell>
          <cell r="DZ399" t="str">
            <v>--</v>
          </cell>
          <cell r="EA399" t="str">
            <v>--</v>
          </cell>
          <cell r="EB399" t="str">
            <v>--</v>
          </cell>
          <cell r="EC399" t="str">
            <v>--</v>
          </cell>
          <cell r="ED399" t="str">
            <v>--</v>
          </cell>
          <cell r="EE399" t="str">
            <v>--</v>
          </cell>
          <cell r="EF399" t="str">
            <v>--</v>
          </cell>
          <cell r="EG399" t="str">
            <v>--</v>
          </cell>
        </row>
        <row r="400">
          <cell r="A400" t="str">
            <v>03480050Afr. Amer/Black</v>
          </cell>
          <cell r="B400" t="str">
            <v>03480050B</v>
          </cell>
          <cell r="C400" t="str">
            <v>0348</v>
          </cell>
          <cell r="D400" t="str">
            <v>03480050</v>
          </cell>
          <cell r="E400" t="str">
            <v>Worcester</v>
          </cell>
          <cell r="F400" t="str">
            <v>Chandler Elementary Community</v>
          </cell>
          <cell r="G400" t="str">
            <v>ES</v>
          </cell>
          <cell r="H400" t="str">
            <v>Worcester - Chandler Elementary Community (03480050)</v>
          </cell>
          <cell r="I400" t="str">
            <v>Afr. Amer/Black</v>
          </cell>
          <cell r="J400" t="str">
            <v>03480050Afr. Amer/Black</v>
          </cell>
          <cell r="K400" t="str">
            <v>--</v>
          </cell>
          <cell r="L400">
            <v>67</v>
          </cell>
          <cell r="M400">
            <v>69.8</v>
          </cell>
          <cell r="N400">
            <v>58.3</v>
          </cell>
          <cell r="O400">
            <v>72.5</v>
          </cell>
          <cell r="P400">
            <v>63.9</v>
          </cell>
          <cell r="Q400">
            <v>75.3</v>
          </cell>
          <cell r="R400">
            <v>78</v>
          </cell>
          <cell r="S400">
            <v>80.8</v>
          </cell>
          <cell r="T400">
            <v>83.5</v>
          </cell>
          <cell r="U400">
            <v>55</v>
          </cell>
          <cell r="V400">
            <v>58.8</v>
          </cell>
          <cell r="W400">
            <v>47.9</v>
          </cell>
          <cell r="X400">
            <v>62.5</v>
          </cell>
          <cell r="Y400">
            <v>57.4</v>
          </cell>
          <cell r="Z400">
            <v>66.3</v>
          </cell>
          <cell r="AA400">
            <v>70</v>
          </cell>
          <cell r="AB400">
            <v>73.8</v>
          </cell>
          <cell r="AC400">
            <v>77.5</v>
          </cell>
          <cell r="AD400" t="str">
            <v>--</v>
          </cell>
          <cell r="AE400" t="str">
            <v>--</v>
          </cell>
          <cell r="AF400" t="str">
            <v>--</v>
          </cell>
          <cell r="AG400" t="str">
            <v>--</v>
          </cell>
          <cell r="AH400" t="str">
            <v>--</v>
          </cell>
          <cell r="AI400" t="str">
            <v>--</v>
          </cell>
          <cell r="AJ400" t="str">
            <v>--</v>
          </cell>
          <cell r="AK400" t="str">
            <v>--</v>
          </cell>
          <cell r="AL400" t="str">
            <v>--</v>
          </cell>
          <cell r="AM400" t="str">
            <v>--</v>
          </cell>
          <cell r="AN400" t="str">
            <v>--</v>
          </cell>
          <cell r="AO400" t="str">
            <v>--</v>
          </cell>
          <cell r="AP400" t="str">
            <v>--</v>
          </cell>
          <cell r="AQ400" t="str">
            <v>--</v>
          </cell>
          <cell r="AR400" t="str">
            <v>--</v>
          </cell>
          <cell r="AS400" t="str">
            <v>--</v>
          </cell>
          <cell r="AT400" t="str">
            <v>--</v>
          </cell>
          <cell r="AU400" t="str">
            <v>--</v>
          </cell>
          <cell r="AV400" t="str">
            <v>--</v>
          </cell>
          <cell r="AW400" t="str">
            <v>--</v>
          </cell>
          <cell r="AX400" t="str">
            <v>--</v>
          </cell>
          <cell r="AY400" t="str">
            <v>--</v>
          </cell>
          <cell r="AZ400" t="str">
            <v>--</v>
          </cell>
          <cell r="BA400" t="str">
            <v>--</v>
          </cell>
          <cell r="BB400" t="str">
            <v>--</v>
          </cell>
          <cell r="BC400" t="str">
            <v>--</v>
          </cell>
          <cell r="BD400" t="str">
            <v>--</v>
          </cell>
          <cell r="BE400" t="str">
            <v>--</v>
          </cell>
          <cell r="BF400" t="str">
            <v>--</v>
          </cell>
          <cell r="BG400" t="str">
            <v>--</v>
          </cell>
          <cell r="BH400" t="str">
            <v>--</v>
          </cell>
          <cell r="BI400" t="str">
            <v>--</v>
          </cell>
          <cell r="BJ400" t="str">
            <v>--</v>
          </cell>
          <cell r="BK400" t="str">
            <v>--</v>
          </cell>
          <cell r="BL400" t="str">
            <v>--</v>
          </cell>
          <cell r="BM400" t="str">
            <v>--</v>
          </cell>
          <cell r="BN400" t="str">
            <v>--</v>
          </cell>
          <cell r="BO400" t="str">
            <v>--</v>
          </cell>
          <cell r="BP400" t="str">
            <v>--</v>
          </cell>
          <cell r="BQ400" t="str">
            <v>--</v>
          </cell>
          <cell r="BR400" t="str">
            <v>--</v>
          </cell>
          <cell r="BS400" t="str">
            <v>--</v>
          </cell>
          <cell r="BT400" t="str">
            <v>--</v>
          </cell>
          <cell r="BU400" t="str">
            <v>--</v>
          </cell>
          <cell r="BV400" t="str">
            <v>--</v>
          </cell>
          <cell r="BW400" t="str">
            <v>--</v>
          </cell>
          <cell r="BX400" t="str">
            <v>--</v>
          </cell>
          <cell r="BY400" t="str">
            <v>--</v>
          </cell>
          <cell r="BZ400" t="str">
            <v>--</v>
          </cell>
          <cell r="CA400" t="str">
            <v>--</v>
          </cell>
          <cell r="CB400" t="str">
            <v>--</v>
          </cell>
          <cell r="CC400" t="str">
            <v>--</v>
          </cell>
          <cell r="CD400" t="str">
            <v>--</v>
          </cell>
          <cell r="CE400" t="str">
            <v>--</v>
          </cell>
          <cell r="CF400">
            <v>20</v>
          </cell>
          <cell r="CG400">
            <v>18</v>
          </cell>
          <cell r="CH400">
            <v>25</v>
          </cell>
          <cell r="CI400">
            <v>22.5</v>
          </cell>
          <cell r="CJ400">
            <v>27.8</v>
          </cell>
          <cell r="CK400">
            <v>22.5</v>
          </cell>
          <cell r="CL400">
            <v>20.3</v>
          </cell>
          <cell r="CM400">
            <v>18.2</v>
          </cell>
          <cell r="CN400">
            <v>16.399999999999999</v>
          </cell>
          <cell r="CO400">
            <v>28</v>
          </cell>
          <cell r="CP400">
            <v>25.2</v>
          </cell>
          <cell r="CQ400">
            <v>45.8</v>
          </cell>
          <cell r="CR400">
            <v>41.2</v>
          </cell>
          <cell r="CS400">
            <v>35.299999999999997</v>
          </cell>
          <cell r="CT400">
            <v>41.2</v>
          </cell>
          <cell r="CU400">
            <v>37.1</v>
          </cell>
          <cell r="CV400">
            <v>33.4</v>
          </cell>
          <cell r="CW400">
            <v>30</v>
          </cell>
          <cell r="CX400" t="str">
            <v>--</v>
          </cell>
          <cell r="CY400" t="str">
            <v>--</v>
          </cell>
          <cell r="CZ400" t="str">
            <v>--</v>
          </cell>
          <cell r="DA400" t="str">
            <v>--</v>
          </cell>
          <cell r="DB400" t="str">
            <v>--</v>
          </cell>
          <cell r="DC400" t="str">
            <v>--</v>
          </cell>
          <cell r="DD400" t="str">
            <v>--</v>
          </cell>
          <cell r="DE400" t="str">
            <v>--</v>
          </cell>
          <cell r="DF400" t="str">
            <v>--</v>
          </cell>
          <cell r="DG400">
            <v>0</v>
          </cell>
          <cell r="DH400">
            <v>1</v>
          </cell>
          <cell r="DI400">
            <v>4.2</v>
          </cell>
          <cell r="DJ400">
            <v>4.5999999999999996</v>
          </cell>
          <cell r="DK400">
            <v>0</v>
          </cell>
          <cell r="DL400">
            <v>4.5999999999999996</v>
          </cell>
          <cell r="DM400">
            <v>5.0999999999999996</v>
          </cell>
          <cell r="DN400">
            <v>5.6</v>
          </cell>
          <cell r="DO400">
            <v>6.1</v>
          </cell>
          <cell r="DP400">
            <v>0</v>
          </cell>
          <cell r="DQ400">
            <v>1</v>
          </cell>
          <cell r="DR400">
            <v>4.2</v>
          </cell>
          <cell r="DS400">
            <v>4.5999999999999996</v>
          </cell>
          <cell r="DT400">
            <v>5.9</v>
          </cell>
          <cell r="DU400">
            <v>4.5999999999999996</v>
          </cell>
          <cell r="DV400">
            <v>5.0999999999999996</v>
          </cell>
          <cell r="DW400">
            <v>5.6</v>
          </cell>
          <cell r="DX400">
            <v>6.1</v>
          </cell>
          <cell r="DY400" t="str">
            <v>--</v>
          </cell>
          <cell r="DZ400" t="str">
            <v>--</v>
          </cell>
          <cell r="EA400" t="str">
            <v>--</v>
          </cell>
          <cell r="EB400" t="str">
            <v>--</v>
          </cell>
          <cell r="EC400" t="str">
            <v>--</v>
          </cell>
          <cell r="ED400" t="str">
            <v>--</v>
          </cell>
          <cell r="EE400" t="str">
            <v>--</v>
          </cell>
          <cell r="EF400" t="str">
            <v>--</v>
          </cell>
          <cell r="EG400" t="str">
            <v>--</v>
          </cell>
        </row>
        <row r="401">
          <cell r="A401" t="str">
            <v>03480050White</v>
          </cell>
          <cell r="B401" t="str">
            <v>03480050C</v>
          </cell>
          <cell r="C401" t="str">
            <v>0348</v>
          </cell>
          <cell r="D401" t="str">
            <v>03480050</v>
          </cell>
          <cell r="E401" t="str">
            <v>Worcester</v>
          </cell>
          <cell r="F401" t="str">
            <v>Chandler Elementary Community</v>
          </cell>
          <cell r="G401" t="str">
            <v>ES</v>
          </cell>
          <cell r="H401" t="str">
            <v>Worcester - Chandler Elementary Community (03480050)</v>
          </cell>
          <cell r="I401" t="str">
            <v>White</v>
          </cell>
          <cell r="J401" t="str">
            <v>03480050White</v>
          </cell>
          <cell r="K401" t="str">
            <v>--</v>
          </cell>
          <cell r="L401" t="str">
            <v>--</v>
          </cell>
          <cell r="M401" t="str">
            <v>--</v>
          </cell>
          <cell r="N401" t="str">
            <v>--</v>
          </cell>
          <cell r="O401" t="str">
            <v>--</v>
          </cell>
          <cell r="P401" t="str">
            <v>--</v>
          </cell>
          <cell r="Q401" t="str">
            <v>--</v>
          </cell>
          <cell r="R401" t="str">
            <v>--</v>
          </cell>
          <cell r="S401" t="str">
            <v>--</v>
          </cell>
          <cell r="T401" t="str">
            <v>--</v>
          </cell>
          <cell r="U401" t="str">
            <v>--</v>
          </cell>
          <cell r="V401" t="str">
            <v>--</v>
          </cell>
          <cell r="W401" t="str">
            <v>--</v>
          </cell>
          <cell r="X401" t="str">
            <v>--</v>
          </cell>
          <cell r="Y401" t="str">
            <v>--</v>
          </cell>
          <cell r="Z401" t="str">
            <v>--</v>
          </cell>
          <cell r="AA401" t="str">
            <v>--</v>
          </cell>
          <cell r="AB401" t="str">
            <v>--</v>
          </cell>
          <cell r="AC401" t="str">
            <v>--</v>
          </cell>
          <cell r="AD401" t="str">
            <v>--</v>
          </cell>
          <cell r="AE401" t="str">
            <v>--</v>
          </cell>
          <cell r="AF401" t="str">
            <v>--</v>
          </cell>
          <cell r="AG401" t="str">
            <v>--</v>
          </cell>
          <cell r="AH401" t="str">
            <v>--</v>
          </cell>
          <cell r="AI401" t="str">
            <v>--</v>
          </cell>
          <cell r="AJ401" t="str">
            <v>--</v>
          </cell>
          <cell r="AK401" t="str">
            <v>--</v>
          </cell>
          <cell r="AL401" t="str">
            <v>--</v>
          </cell>
          <cell r="AM401" t="str">
            <v>--</v>
          </cell>
          <cell r="AN401" t="str">
            <v>--</v>
          </cell>
          <cell r="AO401" t="str">
            <v>--</v>
          </cell>
          <cell r="AP401" t="str">
            <v>--</v>
          </cell>
          <cell r="AQ401" t="str">
            <v>--</v>
          </cell>
          <cell r="AR401" t="str">
            <v>--</v>
          </cell>
          <cell r="AS401" t="str">
            <v>--</v>
          </cell>
          <cell r="AT401" t="str">
            <v>--</v>
          </cell>
          <cell r="AU401" t="str">
            <v>--</v>
          </cell>
          <cell r="AV401" t="str">
            <v>--</v>
          </cell>
          <cell r="AW401" t="str">
            <v>--</v>
          </cell>
          <cell r="AX401" t="str">
            <v>--</v>
          </cell>
          <cell r="AY401" t="str">
            <v>--</v>
          </cell>
          <cell r="AZ401" t="str">
            <v>--</v>
          </cell>
          <cell r="BA401" t="str">
            <v>--</v>
          </cell>
          <cell r="BB401" t="str">
            <v>--</v>
          </cell>
          <cell r="BC401" t="str">
            <v>--</v>
          </cell>
          <cell r="BD401" t="str">
            <v>--</v>
          </cell>
          <cell r="BE401" t="str">
            <v>--</v>
          </cell>
          <cell r="BF401" t="str">
            <v>--</v>
          </cell>
          <cell r="BG401" t="str">
            <v>--</v>
          </cell>
          <cell r="BH401" t="str">
            <v>--</v>
          </cell>
          <cell r="BI401" t="str">
            <v>--</v>
          </cell>
          <cell r="BJ401" t="str">
            <v>--</v>
          </cell>
          <cell r="BK401" t="str">
            <v>--</v>
          </cell>
          <cell r="BL401" t="str">
            <v>--</v>
          </cell>
          <cell r="BM401" t="str">
            <v>--</v>
          </cell>
          <cell r="BN401" t="str">
            <v>--</v>
          </cell>
          <cell r="BO401" t="str">
            <v>--</v>
          </cell>
          <cell r="BP401" t="str">
            <v>--</v>
          </cell>
          <cell r="BQ401" t="str">
            <v>--</v>
          </cell>
          <cell r="BR401" t="str">
            <v>--</v>
          </cell>
          <cell r="BS401" t="str">
            <v>--</v>
          </cell>
          <cell r="BT401" t="str">
            <v>--</v>
          </cell>
          <cell r="BU401" t="str">
            <v>--</v>
          </cell>
          <cell r="BV401" t="str">
            <v>--</v>
          </cell>
          <cell r="BW401" t="str">
            <v>--</v>
          </cell>
          <cell r="BX401" t="str">
            <v>--</v>
          </cell>
          <cell r="BY401" t="str">
            <v>--</v>
          </cell>
          <cell r="BZ401" t="str">
            <v>--</v>
          </cell>
          <cell r="CA401" t="str">
            <v>--</v>
          </cell>
          <cell r="CB401" t="str">
            <v>--</v>
          </cell>
          <cell r="CC401" t="str">
            <v>--</v>
          </cell>
          <cell r="CD401" t="str">
            <v>--</v>
          </cell>
          <cell r="CE401" t="str">
            <v>--</v>
          </cell>
          <cell r="CF401" t="str">
            <v>--</v>
          </cell>
          <cell r="CG401" t="str">
            <v>--</v>
          </cell>
          <cell r="CH401" t="str">
            <v>--</v>
          </cell>
          <cell r="CI401" t="str">
            <v>--</v>
          </cell>
          <cell r="CJ401" t="str">
            <v>--</v>
          </cell>
          <cell r="CK401" t="str">
            <v>--</v>
          </cell>
          <cell r="CL401" t="str">
            <v>--</v>
          </cell>
          <cell r="CM401" t="str">
            <v>--</v>
          </cell>
          <cell r="CN401" t="str">
            <v>--</v>
          </cell>
          <cell r="CO401" t="str">
            <v>--</v>
          </cell>
          <cell r="CP401" t="str">
            <v>--</v>
          </cell>
          <cell r="CQ401" t="str">
            <v>--</v>
          </cell>
          <cell r="CR401" t="str">
            <v>--</v>
          </cell>
          <cell r="CS401" t="str">
            <v>--</v>
          </cell>
          <cell r="CT401" t="str">
            <v>--</v>
          </cell>
          <cell r="CU401" t="str">
            <v>--</v>
          </cell>
          <cell r="CV401" t="str">
            <v>--</v>
          </cell>
          <cell r="CW401" t="str">
            <v>--</v>
          </cell>
          <cell r="CX401" t="str">
            <v>--</v>
          </cell>
          <cell r="CY401" t="str">
            <v>--</v>
          </cell>
          <cell r="CZ401" t="str">
            <v>--</v>
          </cell>
          <cell r="DA401" t="str">
            <v>--</v>
          </cell>
          <cell r="DB401" t="str">
            <v>--</v>
          </cell>
          <cell r="DC401" t="str">
            <v>--</v>
          </cell>
          <cell r="DD401" t="str">
            <v>--</v>
          </cell>
          <cell r="DE401" t="str">
            <v>--</v>
          </cell>
          <cell r="DF401" t="str">
            <v>--</v>
          </cell>
          <cell r="DG401" t="str">
            <v>--</v>
          </cell>
          <cell r="DH401" t="str">
            <v>--</v>
          </cell>
          <cell r="DI401" t="str">
            <v>--</v>
          </cell>
          <cell r="DJ401" t="str">
            <v>--</v>
          </cell>
          <cell r="DK401" t="str">
            <v>--</v>
          </cell>
          <cell r="DL401" t="str">
            <v>--</v>
          </cell>
          <cell r="DM401" t="str">
            <v>--</v>
          </cell>
          <cell r="DN401" t="str">
            <v>--</v>
          </cell>
          <cell r="DO401" t="str">
            <v>--</v>
          </cell>
          <cell r="DP401" t="str">
            <v>--</v>
          </cell>
          <cell r="DQ401" t="str">
            <v>--</v>
          </cell>
          <cell r="DR401" t="str">
            <v>--</v>
          </cell>
          <cell r="DS401" t="str">
            <v>--</v>
          </cell>
          <cell r="DT401" t="str">
            <v>--</v>
          </cell>
          <cell r="DU401" t="str">
            <v>--</v>
          </cell>
          <cell r="DV401" t="str">
            <v>--</v>
          </cell>
          <cell r="DW401" t="str">
            <v>--</v>
          </cell>
          <cell r="DX401" t="str">
            <v>--</v>
          </cell>
          <cell r="DY401" t="str">
            <v>--</v>
          </cell>
          <cell r="DZ401" t="str">
            <v>--</v>
          </cell>
          <cell r="EA401" t="str">
            <v>--</v>
          </cell>
          <cell r="EB401" t="str">
            <v>--</v>
          </cell>
          <cell r="EC401" t="str">
            <v>--</v>
          </cell>
          <cell r="ED401" t="str">
            <v>--</v>
          </cell>
          <cell r="EE401" t="str">
            <v>--</v>
          </cell>
          <cell r="EF401" t="str">
            <v>--</v>
          </cell>
          <cell r="EG401" t="str">
            <v>--</v>
          </cell>
        </row>
        <row r="402">
          <cell r="A402" t="str">
            <v>03480050Students w/disabilities</v>
          </cell>
          <cell r="B402" t="str">
            <v>03480050D</v>
          </cell>
          <cell r="C402" t="str">
            <v>0348</v>
          </cell>
          <cell r="D402" t="str">
            <v>03480050</v>
          </cell>
          <cell r="E402" t="str">
            <v>Worcester</v>
          </cell>
          <cell r="F402" t="str">
            <v>Chandler Elementary Community</v>
          </cell>
          <cell r="G402" t="str">
            <v>ES</v>
          </cell>
          <cell r="H402" t="str">
            <v>Worcester - Chandler Elementary Community (03480050)</v>
          </cell>
          <cell r="I402" t="str">
            <v>Students w/disabilities</v>
          </cell>
          <cell r="J402" t="str">
            <v>03480050Students w/disabilities</v>
          </cell>
          <cell r="K402" t="str">
            <v>--</v>
          </cell>
          <cell r="L402">
            <v>35.6</v>
          </cell>
          <cell r="M402">
            <v>41</v>
          </cell>
          <cell r="N402">
            <v>31.9</v>
          </cell>
          <cell r="O402">
            <v>46.3</v>
          </cell>
          <cell r="P402">
            <v>38.6</v>
          </cell>
          <cell r="Q402">
            <v>51.7</v>
          </cell>
          <cell r="R402">
            <v>57.1</v>
          </cell>
          <cell r="S402">
            <v>62.4</v>
          </cell>
          <cell r="T402">
            <v>67.8</v>
          </cell>
          <cell r="U402">
            <v>32.799999999999997</v>
          </cell>
          <cell r="V402">
            <v>38.4</v>
          </cell>
          <cell r="W402">
            <v>25</v>
          </cell>
          <cell r="X402">
            <v>44</v>
          </cell>
          <cell r="Y402">
            <v>30.7</v>
          </cell>
          <cell r="Z402">
            <v>49.6</v>
          </cell>
          <cell r="AA402">
            <v>55.2</v>
          </cell>
          <cell r="AB402">
            <v>60.8</v>
          </cell>
          <cell r="AC402">
            <v>66.400000000000006</v>
          </cell>
          <cell r="AD402" t="str">
            <v>--</v>
          </cell>
          <cell r="AE402" t="str">
            <v>--</v>
          </cell>
          <cell r="AF402" t="str">
            <v>--</v>
          </cell>
          <cell r="AG402" t="str">
            <v>--</v>
          </cell>
          <cell r="AH402" t="str">
            <v>--</v>
          </cell>
          <cell r="AI402" t="str">
            <v>--</v>
          </cell>
          <cell r="AJ402" t="str">
            <v>--</v>
          </cell>
          <cell r="AK402" t="str">
            <v>--</v>
          </cell>
          <cell r="AL402" t="str">
            <v>--</v>
          </cell>
          <cell r="AM402" t="str">
            <v>--</v>
          </cell>
          <cell r="AN402" t="str">
            <v>--</v>
          </cell>
          <cell r="AO402" t="str">
            <v>--</v>
          </cell>
          <cell r="AP402" t="str">
            <v>--</v>
          </cell>
          <cell r="AQ402" t="str">
            <v>--</v>
          </cell>
          <cell r="AR402" t="str">
            <v>--</v>
          </cell>
          <cell r="AS402" t="str">
            <v>--</v>
          </cell>
          <cell r="AT402" t="str">
            <v>--</v>
          </cell>
          <cell r="AU402" t="str">
            <v>--</v>
          </cell>
          <cell r="AV402" t="str">
            <v>--</v>
          </cell>
          <cell r="AW402" t="str">
            <v>--</v>
          </cell>
          <cell r="AX402" t="str">
            <v>--</v>
          </cell>
          <cell r="AY402" t="str">
            <v>--</v>
          </cell>
          <cell r="AZ402" t="str">
            <v>--</v>
          </cell>
          <cell r="BA402" t="str">
            <v>--</v>
          </cell>
          <cell r="BB402" t="str">
            <v>--</v>
          </cell>
          <cell r="BC402" t="str">
            <v>--</v>
          </cell>
          <cell r="BD402" t="str">
            <v>--</v>
          </cell>
          <cell r="BE402" t="str">
            <v>--</v>
          </cell>
          <cell r="BF402" t="str">
            <v>--</v>
          </cell>
          <cell r="BG402" t="str">
            <v>--</v>
          </cell>
          <cell r="BH402" t="str">
            <v>--</v>
          </cell>
          <cell r="BI402" t="str">
            <v>--</v>
          </cell>
          <cell r="BJ402" t="str">
            <v>--</v>
          </cell>
          <cell r="BK402" t="str">
            <v>--</v>
          </cell>
          <cell r="BL402" t="str">
            <v>--</v>
          </cell>
          <cell r="BM402" t="str">
            <v>--</v>
          </cell>
          <cell r="BN402">
            <v>27</v>
          </cell>
          <cell r="BO402">
            <v>37</v>
          </cell>
          <cell r="BP402">
            <v>37</v>
          </cell>
          <cell r="BQ402">
            <v>47</v>
          </cell>
          <cell r="BR402">
            <v>55</v>
          </cell>
          <cell r="BS402">
            <v>51</v>
          </cell>
          <cell r="BT402">
            <v>51</v>
          </cell>
          <cell r="BU402">
            <v>51</v>
          </cell>
          <cell r="BV402">
            <v>51</v>
          </cell>
          <cell r="BW402">
            <v>26</v>
          </cell>
          <cell r="BX402">
            <v>36</v>
          </cell>
          <cell r="BY402">
            <v>40.5</v>
          </cell>
          <cell r="BZ402">
            <v>46</v>
          </cell>
          <cell r="CA402">
            <v>63</v>
          </cell>
          <cell r="CB402">
            <v>51</v>
          </cell>
          <cell r="CC402">
            <v>51</v>
          </cell>
          <cell r="CD402">
            <v>51</v>
          </cell>
          <cell r="CE402">
            <v>51</v>
          </cell>
          <cell r="CF402">
            <v>60.6</v>
          </cell>
          <cell r="CG402">
            <v>54.5</v>
          </cell>
          <cell r="CH402">
            <v>65.5</v>
          </cell>
          <cell r="CI402">
            <v>59</v>
          </cell>
          <cell r="CJ402">
            <v>59.1</v>
          </cell>
          <cell r="CK402">
            <v>53.2</v>
          </cell>
          <cell r="CL402">
            <v>47.9</v>
          </cell>
          <cell r="CM402">
            <v>43.1</v>
          </cell>
          <cell r="CN402">
            <v>38.799999999999997</v>
          </cell>
          <cell r="CO402">
            <v>71.900000000000006</v>
          </cell>
          <cell r="CP402">
            <v>64.7</v>
          </cell>
          <cell r="CQ402">
            <v>82.8</v>
          </cell>
          <cell r="CR402">
            <v>74.5</v>
          </cell>
          <cell r="CS402">
            <v>72.7</v>
          </cell>
          <cell r="CT402">
            <v>65.400000000000006</v>
          </cell>
          <cell r="CU402">
            <v>58.9</v>
          </cell>
          <cell r="CV402">
            <v>53</v>
          </cell>
          <cell r="CW402">
            <v>47.7</v>
          </cell>
          <cell r="CX402" t="str">
            <v>--</v>
          </cell>
          <cell r="CY402" t="str">
            <v>--</v>
          </cell>
          <cell r="CZ402" t="str">
            <v>--</v>
          </cell>
          <cell r="DA402" t="str">
            <v>--</v>
          </cell>
          <cell r="DB402" t="str">
            <v>--</v>
          </cell>
          <cell r="DC402" t="str">
            <v>--</v>
          </cell>
          <cell r="DD402" t="str">
            <v>--</v>
          </cell>
          <cell r="DE402" t="str">
            <v>--</v>
          </cell>
          <cell r="DF402" t="str">
            <v>--</v>
          </cell>
          <cell r="DG402">
            <v>0</v>
          </cell>
          <cell r="DH402">
            <v>1</v>
          </cell>
          <cell r="DI402">
            <v>0</v>
          </cell>
          <cell r="DJ402">
            <v>1</v>
          </cell>
          <cell r="DK402">
            <v>0</v>
          </cell>
          <cell r="DL402">
            <v>1</v>
          </cell>
          <cell r="DM402">
            <v>1.1000000000000001</v>
          </cell>
          <cell r="DN402">
            <v>1.2</v>
          </cell>
          <cell r="DO402">
            <v>1.3</v>
          </cell>
          <cell r="DP402">
            <v>0</v>
          </cell>
          <cell r="DQ402">
            <v>1</v>
          </cell>
          <cell r="DR402">
            <v>0</v>
          </cell>
          <cell r="DS402">
            <v>1</v>
          </cell>
          <cell r="DT402">
            <v>0</v>
          </cell>
          <cell r="DU402">
            <v>1</v>
          </cell>
          <cell r="DV402">
            <v>1.1000000000000001</v>
          </cell>
          <cell r="DW402">
            <v>1.2</v>
          </cell>
          <cell r="DX402">
            <v>1.3</v>
          </cell>
          <cell r="DY402" t="str">
            <v>--</v>
          </cell>
          <cell r="DZ402" t="str">
            <v>--</v>
          </cell>
          <cell r="EA402" t="str">
            <v>--</v>
          </cell>
          <cell r="EB402" t="str">
            <v>--</v>
          </cell>
          <cell r="EC402" t="str">
            <v>--</v>
          </cell>
          <cell r="ED402" t="str">
            <v>--</v>
          </cell>
          <cell r="EE402" t="str">
            <v>--</v>
          </cell>
          <cell r="EF402" t="str">
            <v>--</v>
          </cell>
          <cell r="EG402" t="str">
            <v>--</v>
          </cell>
        </row>
        <row r="403">
          <cell r="A403" t="str">
            <v>03480050Low income</v>
          </cell>
          <cell r="B403" t="str">
            <v>03480050F</v>
          </cell>
          <cell r="C403" t="str">
            <v>0348</v>
          </cell>
          <cell r="D403" t="str">
            <v>03480050</v>
          </cell>
          <cell r="E403" t="str">
            <v>Worcester</v>
          </cell>
          <cell r="F403" t="str">
            <v>Chandler Elementary Community</v>
          </cell>
          <cell r="G403" t="str">
            <v>ES</v>
          </cell>
          <cell r="H403" t="str">
            <v>Worcester - Chandler Elementary Community (03480050)</v>
          </cell>
          <cell r="I403" t="str">
            <v>Low income</v>
          </cell>
          <cell r="J403" t="str">
            <v>03480050Low income</v>
          </cell>
          <cell r="K403" t="str">
            <v>--</v>
          </cell>
          <cell r="L403">
            <v>58.6</v>
          </cell>
          <cell r="M403">
            <v>62.1</v>
          </cell>
          <cell r="N403">
            <v>54.6</v>
          </cell>
          <cell r="O403">
            <v>65.5</v>
          </cell>
          <cell r="P403">
            <v>60.6</v>
          </cell>
          <cell r="Q403">
            <v>70.3</v>
          </cell>
          <cell r="R403">
            <v>73.7</v>
          </cell>
          <cell r="S403">
            <v>77.2</v>
          </cell>
          <cell r="T403">
            <v>80.599999999999994</v>
          </cell>
          <cell r="U403">
            <v>56.5</v>
          </cell>
          <cell r="V403">
            <v>60.1</v>
          </cell>
          <cell r="W403">
            <v>47.9</v>
          </cell>
          <cell r="X403">
            <v>63.8</v>
          </cell>
          <cell r="Y403">
            <v>53.4</v>
          </cell>
          <cell r="Z403">
            <v>68.7</v>
          </cell>
          <cell r="AA403">
            <v>72.3</v>
          </cell>
          <cell r="AB403">
            <v>75.900000000000006</v>
          </cell>
          <cell r="AC403">
            <v>79.599999999999994</v>
          </cell>
          <cell r="AD403">
            <v>39.700000000000003</v>
          </cell>
          <cell r="AE403">
            <v>44.7</v>
          </cell>
          <cell r="AF403">
            <v>43.3</v>
          </cell>
          <cell r="AG403">
            <v>49.8</v>
          </cell>
          <cell r="AH403">
            <v>43.6</v>
          </cell>
          <cell r="AI403">
            <v>56.1</v>
          </cell>
          <cell r="AJ403">
            <v>61.1</v>
          </cell>
          <cell r="AK403">
            <v>66.099999999999994</v>
          </cell>
          <cell r="AL403">
            <v>71.2</v>
          </cell>
          <cell r="AM403" t="str">
            <v>--</v>
          </cell>
          <cell r="AN403" t="str">
            <v>--</v>
          </cell>
          <cell r="AO403" t="str">
            <v>--</v>
          </cell>
          <cell r="AP403" t="str">
            <v>--</v>
          </cell>
          <cell r="AQ403" t="str">
            <v>--</v>
          </cell>
          <cell r="AR403" t="str">
            <v>--</v>
          </cell>
          <cell r="AS403" t="str">
            <v>--</v>
          </cell>
          <cell r="AT403" t="str">
            <v>--</v>
          </cell>
          <cell r="AU403" t="str">
            <v>--</v>
          </cell>
          <cell r="AV403" t="str">
            <v>--</v>
          </cell>
          <cell r="AW403" t="str">
            <v>--</v>
          </cell>
          <cell r="AX403" t="str">
            <v>--</v>
          </cell>
          <cell r="AY403" t="str">
            <v>--</v>
          </cell>
          <cell r="AZ403" t="str">
            <v>--</v>
          </cell>
          <cell r="BA403" t="str">
            <v>--</v>
          </cell>
          <cell r="BB403" t="str">
            <v>--</v>
          </cell>
          <cell r="BC403" t="str">
            <v>--</v>
          </cell>
          <cell r="BD403" t="str">
            <v>--</v>
          </cell>
          <cell r="BE403" t="str">
            <v>--</v>
          </cell>
          <cell r="BF403" t="str">
            <v>--</v>
          </cell>
          <cell r="BG403" t="str">
            <v>--</v>
          </cell>
          <cell r="BH403" t="str">
            <v>--</v>
          </cell>
          <cell r="BI403" t="str">
            <v>--</v>
          </cell>
          <cell r="BJ403" t="str">
            <v>--</v>
          </cell>
          <cell r="BK403" t="str">
            <v>--</v>
          </cell>
          <cell r="BL403" t="str">
            <v>--</v>
          </cell>
          <cell r="BM403" t="str">
            <v>--</v>
          </cell>
          <cell r="BN403">
            <v>48</v>
          </cell>
          <cell r="BO403">
            <v>51</v>
          </cell>
          <cell r="BP403">
            <v>54</v>
          </cell>
          <cell r="BQ403">
            <v>51</v>
          </cell>
          <cell r="BR403">
            <v>57</v>
          </cell>
          <cell r="BS403">
            <v>60</v>
          </cell>
          <cell r="BT403">
            <v>60</v>
          </cell>
          <cell r="BU403">
            <v>60</v>
          </cell>
          <cell r="BV403">
            <v>60</v>
          </cell>
          <cell r="BW403">
            <v>51.5</v>
          </cell>
          <cell r="BX403">
            <v>51</v>
          </cell>
          <cell r="BY403">
            <v>48</v>
          </cell>
          <cell r="BZ403">
            <v>51</v>
          </cell>
          <cell r="CA403">
            <v>58</v>
          </cell>
          <cell r="CB403">
            <v>60</v>
          </cell>
          <cell r="CC403">
            <v>60</v>
          </cell>
          <cell r="CD403">
            <v>60</v>
          </cell>
          <cell r="CE403">
            <v>60</v>
          </cell>
          <cell r="CF403">
            <v>31.5</v>
          </cell>
          <cell r="CG403">
            <v>28.4</v>
          </cell>
          <cell r="CH403">
            <v>32.4</v>
          </cell>
          <cell r="CI403">
            <v>29.2</v>
          </cell>
          <cell r="CJ403">
            <v>28.8</v>
          </cell>
          <cell r="CK403">
            <v>25.9</v>
          </cell>
          <cell r="CL403">
            <v>23.3</v>
          </cell>
          <cell r="CM403">
            <v>21</v>
          </cell>
          <cell r="CN403">
            <v>18.899999999999999</v>
          </cell>
          <cell r="CO403">
            <v>35</v>
          </cell>
          <cell r="CP403">
            <v>31.5</v>
          </cell>
          <cell r="CQ403">
            <v>47.9</v>
          </cell>
          <cell r="CR403">
            <v>43.1</v>
          </cell>
          <cell r="CS403">
            <v>38.799999999999997</v>
          </cell>
          <cell r="CT403">
            <v>34.9</v>
          </cell>
          <cell r="CU403">
            <v>31.4</v>
          </cell>
          <cell r="CV403">
            <v>28.3</v>
          </cell>
          <cell r="CW403">
            <v>25.5</v>
          </cell>
          <cell r="CX403">
            <v>64.7</v>
          </cell>
          <cell r="CY403">
            <v>58.2</v>
          </cell>
          <cell r="CZ403">
            <v>53.8</v>
          </cell>
          <cell r="DA403">
            <v>48.4</v>
          </cell>
          <cell r="DB403">
            <v>45.7</v>
          </cell>
          <cell r="DC403">
            <v>41.1</v>
          </cell>
          <cell r="DD403">
            <v>37</v>
          </cell>
          <cell r="DE403">
            <v>33.299999999999997</v>
          </cell>
          <cell r="DF403">
            <v>30</v>
          </cell>
          <cell r="DG403">
            <v>0.7</v>
          </cell>
          <cell r="DH403">
            <v>0.8</v>
          </cell>
          <cell r="DI403">
            <v>0.7</v>
          </cell>
          <cell r="DJ403">
            <v>0.8</v>
          </cell>
          <cell r="DK403">
            <v>0.7</v>
          </cell>
          <cell r="DL403">
            <v>0.8</v>
          </cell>
          <cell r="DM403">
            <v>0.8</v>
          </cell>
          <cell r="DN403">
            <v>0.9</v>
          </cell>
          <cell r="DO403">
            <v>1</v>
          </cell>
          <cell r="DP403">
            <v>2.1</v>
          </cell>
          <cell r="DQ403">
            <v>2.2999999999999998</v>
          </cell>
          <cell r="DR403">
            <v>1.4</v>
          </cell>
          <cell r="DS403">
            <v>1.5</v>
          </cell>
          <cell r="DT403">
            <v>4.3</v>
          </cell>
          <cell r="DU403">
            <v>4.7</v>
          </cell>
          <cell r="DV403">
            <v>5.2</v>
          </cell>
          <cell r="DW403">
            <v>5.7</v>
          </cell>
          <cell r="DX403">
            <v>6.3</v>
          </cell>
          <cell r="DY403">
            <v>0</v>
          </cell>
          <cell r="DZ403">
            <v>1</v>
          </cell>
          <cell r="EA403">
            <v>0</v>
          </cell>
          <cell r="EB403">
            <v>1</v>
          </cell>
          <cell r="EC403">
            <v>0</v>
          </cell>
          <cell r="ED403">
            <v>1</v>
          </cell>
          <cell r="EE403">
            <v>1.1000000000000001</v>
          </cell>
          <cell r="EF403">
            <v>1.2</v>
          </cell>
          <cell r="EG403">
            <v>1.3</v>
          </cell>
        </row>
        <row r="404">
          <cell r="A404" t="str">
            <v>03480050Hispanic/Latino</v>
          </cell>
          <cell r="B404" t="str">
            <v>03480050H</v>
          </cell>
          <cell r="C404" t="str">
            <v>0348</v>
          </cell>
          <cell r="D404" t="str">
            <v>03480050</v>
          </cell>
          <cell r="E404" t="str">
            <v>Worcester</v>
          </cell>
          <cell r="F404" t="str">
            <v>Chandler Elementary Community</v>
          </cell>
          <cell r="G404" t="str">
            <v>ES</v>
          </cell>
          <cell r="H404" t="str">
            <v>Worcester - Chandler Elementary Community (03480050)</v>
          </cell>
          <cell r="I404" t="str">
            <v>Hispanic/Latino</v>
          </cell>
          <cell r="J404" t="str">
            <v>03480050Hispanic/Latino</v>
          </cell>
          <cell r="K404" t="str">
            <v>--</v>
          </cell>
          <cell r="L404">
            <v>52.8</v>
          </cell>
          <cell r="M404">
            <v>56.7</v>
          </cell>
          <cell r="N404">
            <v>52.2</v>
          </cell>
          <cell r="O404">
            <v>60.7</v>
          </cell>
          <cell r="P404">
            <v>57</v>
          </cell>
          <cell r="Q404">
            <v>65.900000000000006</v>
          </cell>
          <cell r="R404">
            <v>69.8</v>
          </cell>
          <cell r="S404">
            <v>73.8</v>
          </cell>
          <cell r="T404">
            <v>77.7</v>
          </cell>
          <cell r="U404">
            <v>52.3</v>
          </cell>
          <cell r="V404">
            <v>56.3</v>
          </cell>
          <cell r="W404">
            <v>46.2</v>
          </cell>
          <cell r="X404">
            <v>60.3</v>
          </cell>
          <cell r="Y404">
            <v>50.3</v>
          </cell>
          <cell r="Z404">
            <v>65.5</v>
          </cell>
          <cell r="AA404">
            <v>69.5</v>
          </cell>
          <cell r="AB404">
            <v>73.5</v>
          </cell>
          <cell r="AC404">
            <v>77.5</v>
          </cell>
          <cell r="AD404">
            <v>36.700000000000003</v>
          </cell>
          <cell r="AE404">
            <v>42</v>
          </cell>
          <cell r="AF404">
            <v>48.7</v>
          </cell>
          <cell r="AG404">
            <v>47.3</v>
          </cell>
          <cell r="AH404">
            <v>42.4</v>
          </cell>
          <cell r="AI404">
            <v>53.8</v>
          </cell>
          <cell r="AJ404">
            <v>59.1</v>
          </cell>
          <cell r="AK404">
            <v>64.400000000000006</v>
          </cell>
          <cell r="AL404">
            <v>69.7</v>
          </cell>
          <cell r="AM404" t="str">
            <v>--</v>
          </cell>
          <cell r="AN404" t="str">
            <v>--</v>
          </cell>
          <cell r="AO404" t="str">
            <v>--</v>
          </cell>
          <cell r="AP404" t="str">
            <v>--</v>
          </cell>
          <cell r="AQ404" t="str">
            <v>--</v>
          </cell>
          <cell r="AR404" t="str">
            <v>--</v>
          </cell>
          <cell r="AS404" t="str">
            <v>--</v>
          </cell>
          <cell r="AT404" t="str">
            <v>--</v>
          </cell>
          <cell r="AU404" t="str">
            <v>--</v>
          </cell>
          <cell r="AV404" t="str">
            <v>--</v>
          </cell>
          <cell r="AW404" t="str">
            <v>--</v>
          </cell>
          <cell r="AX404" t="str">
            <v>--</v>
          </cell>
          <cell r="AY404" t="str">
            <v>--</v>
          </cell>
          <cell r="AZ404" t="str">
            <v>--</v>
          </cell>
          <cell r="BA404" t="str">
            <v>--</v>
          </cell>
          <cell r="BB404" t="str">
            <v>--</v>
          </cell>
          <cell r="BC404" t="str">
            <v>--</v>
          </cell>
          <cell r="BD404" t="str">
            <v>--</v>
          </cell>
          <cell r="BE404" t="str">
            <v>--</v>
          </cell>
          <cell r="BF404" t="str">
            <v>--</v>
          </cell>
          <cell r="BG404" t="str">
            <v>--</v>
          </cell>
          <cell r="BH404" t="str">
            <v>--</v>
          </cell>
          <cell r="BI404" t="str">
            <v>--</v>
          </cell>
          <cell r="BJ404" t="str">
            <v>--</v>
          </cell>
          <cell r="BK404" t="str">
            <v>--</v>
          </cell>
          <cell r="BL404" t="str">
            <v>--</v>
          </cell>
          <cell r="BM404" t="str">
            <v>--</v>
          </cell>
          <cell r="BN404">
            <v>39</v>
          </cell>
          <cell r="BO404">
            <v>49</v>
          </cell>
          <cell r="BP404">
            <v>54</v>
          </cell>
          <cell r="BQ404">
            <v>51</v>
          </cell>
          <cell r="BR404">
            <v>53</v>
          </cell>
          <cell r="BS404">
            <v>60</v>
          </cell>
          <cell r="BT404">
            <v>60</v>
          </cell>
          <cell r="BU404">
            <v>60</v>
          </cell>
          <cell r="BV404">
            <v>60</v>
          </cell>
          <cell r="BW404">
            <v>43</v>
          </cell>
          <cell r="BX404">
            <v>51</v>
          </cell>
          <cell r="BY404">
            <v>48</v>
          </cell>
          <cell r="BZ404">
            <v>51</v>
          </cell>
          <cell r="CA404">
            <v>58</v>
          </cell>
          <cell r="CB404">
            <v>60</v>
          </cell>
          <cell r="CC404">
            <v>60</v>
          </cell>
          <cell r="CD404">
            <v>60</v>
          </cell>
          <cell r="CE404">
            <v>60</v>
          </cell>
          <cell r="CF404">
            <v>39.799999999999997</v>
          </cell>
          <cell r="CG404">
            <v>35.799999999999997</v>
          </cell>
          <cell r="CH404">
            <v>35.9</v>
          </cell>
          <cell r="CI404">
            <v>32.299999999999997</v>
          </cell>
          <cell r="CJ404">
            <v>32</v>
          </cell>
          <cell r="CK404">
            <v>28.8</v>
          </cell>
          <cell r="CL404">
            <v>25.9</v>
          </cell>
          <cell r="CM404">
            <v>23.3</v>
          </cell>
          <cell r="CN404">
            <v>21</v>
          </cell>
          <cell r="CO404">
            <v>42</v>
          </cell>
          <cell r="CP404">
            <v>37.799999999999997</v>
          </cell>
          <cell r="CQ404">
            <v>50</v>
          </cell>
          <cell r="CR404">
            <v>45</v>
          </cell>
          <cell r="CS404">
            <v>41.8</v>
          </cell>
          <cell r="CT404">
            <v>37.6</v>
          </cell>
          <cell r="CU404">
            <v>33.9</v>
          </cell>
          <cell r="CV404">
            <v>30.5</v>
          </cell>
          <cell r="CW404">
            <v>27.4</v>
          </cell>
          <cell r="CX404">
            <v>66.7</v>
          </cell>
          <cell r="CY404">
            <v>60</v>
          </cell>
          <cell r="CZ404">
            <v>47.4</v>
          </cell>
          <cell r="DA404">
            <v>60</v>
          </cell>
          <cell r="DB404">
            <v>47.8</v>
          </cell>
          <cell r="DC404">
            <v>43</v>
          </cell>
          <cell r="DD404">
            <v>38.700000000000003</v>
          </cell>
          <cell r="DE404">
            <v>34.799999999999997</v>
          </cell>
          <cell r="DF404">
            <v>31.4</v>
          </cell>
          <cell r="DG404">
            <v>0</v>
          </cell>
          <cell r="DH404">
            <v>1</v>
          </cell>
          <cell r="DI404">
            <v>0</v>
          </cell>
          <cell r="DJ404">
            <v>1</v>
          </cell>
          <cell r="DK404">
            <v>1</v>
          </cell>
          <cell r="DL404">
            <v>1.1000000000000001</v>
          </cell>
          <cell r="DM404">
            <v>1.2</v>
          </cell>
          <cell r="DN404">
            <v>1.3</v>
          </cell>
          <cell r="DO404">
            <v>1.5</v>
          </cell>
          <cell r="DP404">
            <v>0</v>
          </cell>
          <cell r="DQ404">
            <v>1</v>
          </cell>
          <cell r="DR404">
            <v>1.1000000000000001</v>
          </cell>
          <cell r="DS404">
            <v>1.2</v>
          </cell>
          <cell r="DT404">
            <v>4.0999999999999996</v>
          </cell>
          <cell r="DU404">
            <v>4.5</v>
          </cell>
          <cell r="DV404">
            <v>5</v>
          </cell>
          <cell r="DW404">
            <v>5.5</v>
          </cell>
          <cell r="DX404">
            <v>6</v>
          </cell>
          <cell r="DY404">
            <v>0</v>
          </cell>
          <cell r="DZ404">
            <v>1</v>
          </cell>
          <cell r="EA404">
            <v>0</v>
          </cell>
          <cell r="EB404">
            <v>1</v>
          </cell>
          <cell r="EC404">
            <v>0</v>
          </cell>
          <cell r="ED404">
            <v>1</v>
          </cell>
          <cell r="EE404">
            <v>1.1000000000000001</v>
          </cell>
          <cell r="EF404">
            <v>1.2</v>
          </cell>
          <cell r="EG404">
            <v>1.3</v>
          </cell>
        </row>
        <row r="405">
          <cell r="A405" t="str">
            <v>03480050ELL and Former ELL</v>
          </cell>
          <cell r="B405" t="str">
            <v>03480050L</v>
          </cell>
          <cell r="C405" t="str">
            <v>0348</v>
          </cell>
          <cell r="D405" t="str">
            <v>03480050</v>
          </cell>
          <cell r="E405" t="str">
            <v>Worcester</v>
          </cell>
          <cell r="F405" t="str">
            <v>Chandler Elementary Community</v>
          </cell>
          <cell r="G405" t="str">
            <v>ES</v>
          </cell>
          <cell r="H405" t="str">
            <v>Worcester - Chandler Elementary Community (03480050)</v>
          </cell>
          <cell r="I405" t="str">
            <v>ELL and Former ELL</v>
          </cell>
          <cell r="J405" t="str">
            <v>03480050ELL and Former ELL</v>
          </cell>
          <cell r="K405" t="str">
            <v>--</v>
          </cell>
          <cell r="L405">
            <v>56.7</v>
          </cell>
          <cell r="M405">
            <v>60.3</v>
          </cell>
          <cell r="N405">
            <v>52.9</v>
          </cell>
          <cell r="O405">
            <v>63.9</v>
          </cell>
          <cell r="P405">
            <v>56.9</v>
          </cell>
          <cell r="Q405">
            <v>68.8</v>
          </cell>
          <cell r="R405">
            <v>72.400000000000006</v>
          </cell>
          <cell r="S405">
            <v>76</v>
          </cell>
          <cell r="T405">
            <v>79.7</v>
          </cell>
          <cell r="U405">
            <v>57.7</v>
          </cell>
          <cell r="V405">
            <v>61.2</v>
          </cell>
          <cell r="W405">
            <v>49.3</v>
          </cell>
          <cell r="X405">
            <v>64.8</v>
          </cell>
          <cell r="Y405">
            <v>54.2</v>
          </cell>
          <cell r="Z405">
            <v>69.599999999999994</v>
          </cell>
          <cell r="AA405">
            <v>73.099999999999994</v>
          </cell>
          <cell r="AB405">
            <v>76.599999999999994</v>
          </cell>
          <cell r="AC405">
            <v>80.2</v>
          </cell>
          <cell r="AD405">
            <v>39.200000000000003</v>
          </cell>
          <cell r="AE405">
            <v>44.3</v>
          </cell>
          <cell r="AF405">
            <v>39.1</v>
          </cell>
          <cell r="AG405">
            <v>49.3</v>
          </cell>
          <cell r="AH405">
            <v>41.3</v>
          </cell>
          <cell r="AI405">
            <v>55.7</v>
          </cell>
          <cell r="AJ405">
            <v>60.8</v>
          </cell>
          <cell r="AK405">
            <v>65.8</v>
          </cell>
          <cell r="AL405">
            <v>70.900000000000006</v>
          </cell>
          <cell r="AM405" t="str">
            <v>--</v>
          </cell>
          <cell r="AN405" t="str">
            <v>--</v>
          </cell>
          <cell r="AO405" t="str">
            <v>--</v>
          </cell>
          <cell r="AP405" t="str">
            <v>--</v>
          </cell>
          <cell r="AQ405" t="str">
            <v>--</v>
          </cell>
          <cell r="AR405" t="str">
            <v>--</v>
          </cell>
          <cell r="AS405" t="str">
            <v>--</v>
          </cell>
          <cell r="AT405" t="str">
            <v>--</v>
          </cell>
          <cell r="AU405" t="str">
            <v>--</v>
          </cell>
          <cell r="AV405" t="str">
            <v>--</v>
          </cell>
          <cell r="AW405" t="str">
            <v>--</v>
          </cell>
          <cell r="AX405" t="str">
            <v>--</v>
          </cell>
          <cell r="AY405" t="str">
            <v>--</v>
          </cell>
          <cell r="AZ405" t="str">
            <v>--</v>
          </cell>
          <cell r="BA405" t="str">
            <v>--</v>
          </cell>
          <cell r="BB405" t="str">
            <v>--</v>
          </cell>
          <cell r="BC405" t="str">
            <v>--</v>
          </cell>
          <cell r="BD405" t="str">
            <v>--</v>
          </cell>
          <cell r="BE405" t="str">
            <v>--</v>
          </cell>
          <cell r="BF405" t="str">
            <v>--</v>
          </cell>
          <cell r="BG405" t="str">
            <v>--</v>
          </cell>
          <cell r="BH405" t="str">
            <v>--</v>
          </cell>
          <cell r="BI405" t="str">
            <v>--</v>
          </cell>
          <cell r="BJ405" t="str">
            <v>--</v>
          </cell>
          <cell r="BK405" t="str">
            <v>--</v>
          </cell>
          <cell r="BL405" t="str">
            <v>--</v>
          </cell>
          <cell r="BM405" t="str">
            <v>--</v>
          </cell>
          <cell r="BN405">
            <v>46.5</v>
          </cell>
          <cell r="BO405">
            <v>51</v>
          </cell>
          <cell r="BP405">
            <v>51</v>
          </cell>
          <cell r="BQ405">
            <v>51</v>
          </cell>
          <cell r="BR405">
            <v>56</v>
          </cell>
          <cell r="BS405">
            <v>60</v>
          </cell>
          <cell r="BT405">
            <v>60</v>
          </cell>
          <cell r="BU405">
            <v>60</v>
          </cell>
          <cell r="BV405">
            <v>60</v>
          </cell>
          <cell r="BW405">
            <v>51</v>
          </cell>
          <cell r="BX405">
            <v>51</v>
          </cell>
          <cell r="BY405">
            <v>48</v>
          </cell>
          <cell r="BZ405">
            <v>51</v>
          </cell>
          <cell r="CA405">
            <v>58</v>
          </cell>
          <cell r="CB405">
            <v>60</v>
          </cell>
          <cell r="CC405">
            <v>60</v>
          </cell>
          <cell r="CD405">
            <v>60</v>
          </cell>
          <cell r="CE405">
            <v>60</v>
          </cell>
          <cell r="CF405">
            <v>32.299999999999997</v>
          </cell>
          <cell r="CG405">
            <v>29.1</v>
          </cell>
          <cell r="CH405">
            <v>34</v>
          </cell>
          <cell r="CI405">
            <v>30.6</v>
          </cell>
          <cell r="CJ405">
            <v>32.700000000000003</v>
          </cell>
          <cell r="CK405">
            <v>29.4</v>
          </cell>
          <cell r="CL405">
            <v>26.5</v>
          </cell>
          <cell r="CM405">
            <v>23.8</v>
          </cell>
          <cell r="CN405">
            <v>21.5</v>
          </cell>
          <cell r="CO405">
            <v>33</v>
          </cell>
          <cell r="CP405">
            <v>29.7</v>
          </cell>
          <cell r="CQ405">
            <v>46.6</v>
          </cell>
          <cell r="CR405">
            <v>41.9</v>
          </cell>
          <cell r="CS405">
            <v>39.200000000000003</v>
          </cell>
          <cell r="CT405">
            <v>35.299999999999997</v>
          </cell>
          <cell r="CU405">
            <v>31.8</v>
          </cell>
          <cell r="CV405">
            <v>28.6</v>
          </cell>
          <cell r="CW405">
            <v>25.7</v>
          </cell>
          <cell r="CX405">
            <v>64.900000000000006</v>
          </cell>
          <cell r="CY405">
            <v>58.4</v>
          </cell>
          <cell r="CZ405">
            <v>62.5</v>
          </cell>
          <cell r="DA405">
            <v>58.4</v>
          </cell>
          <cell r="DB405">
            <v>50</v>
          </cell>
          <cell r="DC405">
            <v>45</v>
          </cell>
          <cell r="DD405">
            <v>40.5</v>
          </cell>
          <cell r="DE405">
            <v>36.5</v>
          </cell>
          <cell r="DF405">
            <v>32.799999999999997</v>
          </cell>
          <cell r="DG405">
            <v>1.1000000000000001</v>
          </cell>
          <cell r="DH405">
            <v>1.2</v>
          </cell>
          <cell r="DI405">
            <v>1</v>
          </cell>
          <cell r="DJ405">
            <v>1.1000000000000001</v>
          </cell>
          <cell r="DK405">
            <v>0</v>
          </cell>
          <cell r="DL405">
            <v>1</v>
          </cell>
          <cell r="DM405">
            <v>1.1000000000000001</v>
          </cell>
          <cell r="DN405">
            <v>1.2</v>
          </cell>
          <cell r="DO405">
            <v>1.3</v>
          </cell>
          <cell r="DP405">
            <v>2.2000000000000002</v>
          </cell>
          <cell r="DQ405">
            <v>2.4</v>
          </cell>
          <cell r="DR405">
            <v>1.9</v>
          </cell>
          <cell r="DS405">
            <v>2.1</v>
          </cell>
          <cell r="DT405">
            <v>3.9</v>
          </cell>
          <cell r="DU405">
            <v>4.3</v>
          </cell>
          <cell r="DV405">
            <v>4.7</v>
          </cell>
          <cell r="DW405">
            <v>5.2</v>
          </cell>
          <cell r="DX405">
            <v>5.7</v>
          </cell>
          <cell r="DY405">
            <v>0</v>
          </cell>
          <cell r="DZ405">
            <v>1</v>
          </cell>
          <cell r="EA405">
            <v>0</v>
          </cell>
          <cell r="EB405">
            <v>1</v>
          </cell>
          <cell r="EC405">
            <v>0</v>
          </cell>
          <cell r="ED405">
            <v>1</v>
          </cell>
          <cell r="EE405">
            <v>1.1000000000000001</v>
          </cell>
          <cell r="EF405">
            <v>1.2</v>
          </cell>
          <cell r="EG405">
            <v>1.3</v>
          </cell>
        </row>
        <row r="406">
          <cell r="A406" t="str">
            <v>03480050Multi-race, Non-Hisp./Lat.</v>
          </cell>
          <cell r="B406" t="str">
            <v>03480050M</v>
          </cell>
          <cell r="C406" t="str">
            <v>0348</v>
          </cell>
          <cell r="D406" t="str">
            <v>03480050</v>
          </cell>
          <cell r="E406" t="str">
            <v>Worcester</v>
          </cell>
          <cell r="F406" t="str">
            <v>Chandler Elementary Community</v>
          </cell>
          <cell r="G406" t="str">
            <v>ES</v>
          </cell>
          <cell r="H406" t="str">
            <v>Worcester - Chandler Elementary Community (03480050)</v>
          </cell>
          <cell r="I406" t="str">
            <v>Multi-race, Non-Hisp./Lat.</v>
          </cell>
          <cell r="J406" t="str">
            <v>03480050Multi-race, Non-Hisp./Lat.</v>
          </cell>
          <cell r="K406" t="str">
            <v>Level 4</v>
          </cell>
          <cell r="L406" t="str">
            <v>--</v>
          </cell>
          <cell r="M406" t="str">
            <v>--</v>
          </cell>
          <cell r="N406" t="str">
            <v>--</v>
          </cell>
          <cell r="O406" t="str">
            <v>--</v>
          </cell>
          <cell r="P406" t="str">
            <v>--</v>
          </cell>
          <cell r="Q406" t="str">
            <v>--</v>
          </cell>
          <cell r="R406" t="str">
            <v>--</v>
          </cell>
          <cell r="S406" t="str">
            <v>--</v>
          </cell>
          <cell r="T406" t="str">
            <v>--</v>
          </cell>
          <cell r="U406" t="str">
            <v>--</v>
          </cell>
          <cell r="V406" t="str">
            <v>--</v>
          </cell>
          <cell r="W406" t="str">
            <v>--</v>
          </cell>
          <cell r="X406" t="str">
            <v>--</v>
          </cell>
          <cell r="Y406" t="str">
            <v>--</v>
          </cell>
          <cell r="Z406" t="str">
            <v>--</v>
          </cell>
          <cell r="AA406" t="str">
            <v>--</v>
          </cell>
          <cell r="AB406" t="str">
            <v>--</v>
          </cell>
          <cell r="AC406" t="str">
            <v>--</v>
          </cell>
          <cell r="AD406" t="str">
            <v>--</v>
          </cell>
          <cell r="AE406" t="str">
            <v>--</v>
          </cell>
          <cell r="AF406" t="str">
            <v>--</v>
          </cell>
          <cell r="AG406" t="str">
            <v>--</v>
          </cell>
          <cell r="AH406" t="str">
            <v>--</v>
          </cell>
          <cell r="AI406" t="str">
            <v>--</v>
          </cell>
          <cell r="AJ406" t="str">
            <v>--</v>
          </cell>
          <cell r="AK406" t="str">
            <v>--</v>
          </cell>
          <cell r="AL406" t="str">
            <v>--</v>
          </cell>
          <cell r="AM406" t="str">
            <v>--</v>
          </cell>
          <cell r="AN406" t="str">
            <v>--</v>
          </cell>
          <cell r="AO406" t="str">
            <v>--</v>
          </cell>
          <cell r="AP406" t="str">
            <v>--</v>
          </cell>
          <cell r="AQ406" t="str">
            <v>--</v>
          </cell>
          <cell r="AR406" t="str">
            <v>--</v>
          </cell>
          <cell r="AS406" t="str">
            <v>--</v>
          </cell>
          <cell r="AT406" t="str">
            <v>--</v>
          </cell>
          <cell r="AU406" t="str">
            <v>--</v>
          </cell>
          <cell r="AV406" t="str">
            <v>--</v>
          </cell>
          <cell r="AW406" t="str">
            <v>--</v>
          </cell>
          <cell r="AX406" t="str">
            <v>--</v>
          </cell>
          <cell r="AY406" t="str">
            <v>--</v>
          </cell>
          <cell r="AZ406" t="str">
            <v>--</v>
          </cell>
          <cell r="BA406" t="str">
            <v>--</v>
          </cell>
          <cell r="BB406" t="str">
            <v>--</v>
          </cell>
          <cell r="BC406" t="str">
            <v>--</v>
          </cell>
          <cell r="BD406" t="str">
            <v>--</v>
          </cell>
          <cell r="BE406" t="str">
            <v>--</v>
          </cell>
          <cell r="BF406" t="str">
            <v>--</v>
          </cell>
          <cell r="BG406" t="str">
            <v>--</v>
          </cell>
          <cell r="BH406" t="str">
            <v>--</v>
          </cell>
          <cell r="BI406" t="str">
            <v>--</v>
          </cell>
          <cell r="BJ406" t="str">
            <v>--</v>
          </cell>
          <cell r="BK406" t="str">
            <v>--</v>
          </cell>
          <cell r="BL406" t="str">
            <v>--</v>
          </cell>
          <cell r="BM406" t="str">
            <v>--</v>
          </cell>
          <cell r="BN406" t="str">
            <v>--</v>
          </cell>
          <cell r="BO406" t="str">
            <v>--</v>
          </cell>
          <cell r="BP406" t="str">
            <v>--</v>
          </cell>
          <cell r="BQ406" t="str">
            <v>--</v>
          </cell>
          <cell r="BR406" t="str">
            <v>--</v>
          </cell>
          <cell r="BS406" t="str">
            <v>--</v>
          </cell>
          <cell r="BT406" t="str">
            <v>--</v>
          </cell>
          <cell r="BU406" t="str">
            <v>--</v>
          </cell>
          <cell r="BV406" t="str">
            <v>--</v>
          </cell>
          <cell r="BW406" t="str">
            <v>--</v>
          </cell>
          <cell r="BX406" t="str">
            <v>--</v>
          </cell>
          <cell r="BY406" t="str">
            <v>--</v>
          </cell>
          <cell r="BZ406" t="str">
            <v>--</v>
          </cell>
          <cell r="CA406" t="str">
            <v>--</v>
          </cell>
          <cell r="CB406" t="str">
            <v>--</v>
          </cell>
          <cell r="CC406" t="str">
            <v>--</v>
          </cell>
          <cell r="CD406" t="str">
            <v>--</v>
          </cell>
          <cell r="CE406" t="str">
            <v>--</v>
          </cell>
          <cell r="CF406" t="str">
            <v>--</v>
          </cell>
          <cell r="CG406" t="str">
            <v>--</v>
          </cell>
          <cell r="CH406" t="str">
            <v>--</v>
          </cell>
          <cell r="CI406" t="str">
            <v>--</v>
          </cell>
          <cell r="CJ406" t="str">
            <v>--</v>
          </cell>
          <cell r="CK406" t="str">
            <v>--</v>
          </cell>
          <cell r="CL406" t="str">
            <v>--</v>
          </cell>
          <cell r="CM406" t="str">
            <v>--</v>
          </cell>
          <cell r="CN406" t="str">
            <v>--</v>
          </cell>
          <cell r="CO406" t="str">
            <v>--</v>
          </cell>
          <cell r="CP406" t="str">
            <v>--</v>
          </cell>
          <cell r="CQ406" t="str">
            <v>--</v>
          </cell>
          <cell r="CR406" t="str">
            <v>--</v>
          </cell>
          <cell r="CS406" t="str">
            <v>--</v>
          </cell>
          <cell r="CT406" t="str">
            <v>--</v>
          </cell>
          <cell r="CU406" t="str">
            <v>--</v>
          </cell>
          <cell r="CV406" t="str">
            <v>--</v>
          </cell>
          <cell r="CW406" t="str">
            <v>--</v>
          </cell>
          <cell r="CX406" t="str">
            <v>--</v>
          </cell>
          <cell r="CY406" t="str">
            <v>--</v>
          </cell>
          <cell r="CZ406" t="str">
            <v>--</v>
          </cell>
          <cell r="DA406" t="str">
            <v>--</v>
          </cell>
          <cell r="DB406" t="str">
            <v>--</v>
          </cell>
          <cell r="DC406" t="str">
            <v>--</v>
          </cell>
          <cell r="DD406" t="str">
            <v>--</v>
          </cell>
          <cell r="DE406" t="str">
            <v>--</v>
          </cell>
          <cell r="DF406" t="str">
            <v>--</v>
          </cell>
          <cell r="DG406" t="str">
            <v>--</v>
          </cell>
          <cell r="DH406" t="str">
            <v>--</v>
          </cell>
          <cell r="DI406" t="str">
            <v>--</v>
          </cell>
          <cell r="DJ406" t="str">
            <v>--</v>
          </cell>
          <cell r="DK406" t="str">
            <v>--</v>
          </cell>
          <cell r="DL406" t="str">
            <v>--</v>
          </cell>
          <cell r="DM406" t="str">
            <v>--</v>
          </cell>
          <cell r="DN406" t="str">
            <v>--</v>
          </cell>
          <cell r="DO406" t="str">
            <v>--</v>
          </cell>
          <cell r="DP406" t="str">
            <v>--</v>
          </cell>
          <cell r="DQ406" t="str">
            <v>--</v>
          </cell>
          <cell r="DR406" t="str">
            <v>--</v>
          </cell>
          <cell r="DS406" t="str">
            <v>--</v>
          </cell>
          <cell r="DT406" t="str">
            <v>--</v>
          </cell>
          <cell r="DU406" t="str">
            <v>--</v>
          </cell>
          <cell r="DV406" t="str">
            <v>--</v>
          </cell>
          <cell r="DW406" t="str">
            <v>--</v>
          </cell>
          <cell r="DX406" t="str">
            <v>--</v>
          </cell>
          <cell r="DY406" t="str">
            <v>--</v>
          </cell>
          <cell r="DZ406" t="str">
            <v>--</v>
          </cell>
          <cell r="EA406" t="str">
            <v>--</v>
          </cell>
          <cell r="EB406" t="str">
            <v>--</v>
          </cell>
          <cell r="EC406" t="str">
            <v>--</v>
          </cell>
          <cell r="ED406" t="str">
            <v>--</v>
          </cell>
          <cell r="EE406" t="str">
            <v>--</v>
          </cell>
          <cell r="EF406" t="str">
            <v>--</v>
          </cell>
          <cell r="EG406" t="str">
            <v>--</v>
          </cell>
        </row>
        <row r="407">
          <cell r="A407" t="str">
            <v>03480050Amer. Ind. or Alaska Nat.</v>
          </cell>
          <cell r="B407" t="str">
            <v>03480050N</v>
          </cell>
          <cell r="C407" t="str">
            <v>0348</v>
          </cell>
          <cell r="D407" t="str">
            <v>03480050</v>
          </cell>
          <cell r="E407" t="str">
            <v>Worcester</v>
          </cell>
          <cell r="F407" t="str">
            <v>Chandler Elementary Community</v>
          </cell>
          <cell r="G407" t="str">
            <v>ES</v>
          </cell>
          <cell r="H407" t="str">
            <v>Worcester - Chandler Elementary Community (03480050)</v>
          </cell>
          <cell r="I407" t="str">
            <v>Amer. Ind. or Alaska Nat.</v>
          </cell>
          <cell r="J407" t="str">
            <v>03480050Amer. Ind. or Alaska Nat.</v>
          </cell>
          <cell r="K407" t="str">
            <v>--</v>
          </cell>
          <cell r="L407" t="str">
            <v>--</v>
          </cell>
          <cell r="M407" t="str">
            <v>--</v>
          </cell>
          <cell r="N407" t="str">
            <v>--</v>
          </cell>
          <cell r="O407" t="str">
            <v>--</v>
          </cell>
          <cell r="P407" t="str">
            <v>--</v>
          </cell>
          <cell r="Q407" t="str">
            <v>--</v>
          </cell>
          <cell r="R407" t="str">
            <v>--</v>
          </cell>
          <cell r="S407" t="str">
            <v>--</v>
          </cell>
          <cell r="T407" t="str">
            <v>--</v>
          </cell>
          <cell r="U407" t="str">
            <v>--</v>
          </cell>
          <cell r="V407" t="str">
            <v>--</v>
          </cell>
          <cell r="W407" t="str">
            <v>--</v>
          </cell>
          <cell r="X407" t="str">
            <v>--</v>
          </cell>
          <cell r="Y407" t="str">
            <v>--</v>
          </cell>
          <cell r="Z407" t="str">
            <v>--</v>
          </cell>
          <cell r="AA407" t="str">
            <v>--</v>
          </cell>
          <cell r="AB407" t="str">
            <v>--</v>
          </cell>
          <cell r="AC407" t="str">
            <v>--</v>
          </cell>
          <cell r="AD407" t="str">
            <v>--</v>
          </cell>
          <cell r="AE407" t="str">
            <v>--</v>
          </cell>
          <cell r="AF407" t="str">
            <v>--</v>
          </cell>
          <cell r="AG407" t="str">
            <v>--</v>
          </cell>
          <cell r="AH407" t="str">
            <v>--</v>
          </cell>
          <cell r="AI407" t="str">
            <v>--</v>
          </cell>
          <cell r="AJ407" t="str">
            <v>--</v>
          </cell>
          <cell r="AK407" t="str">
            <v>--</v>
          </cell>
          <cell r="AL407" t="str">
            <v>--</v>
          </cell>
          <cell r="AM407" t="str">
            <v>--</v>
          </cell>
          <cell r="AN407" t="str">
            <v>--</v>
          </cell>
          <cell r="AO407" t="str">
            <v>--</v>
          </cell>
          <cell r="AP407" t="str">
            <v>--</v>
          </cell>
          <cell r="AQ407" t="str">
            <v>--</v>
          </cell>
          <cell r="AR407" t="str">
            <v>--</v>
          </cell>
          <cell r="AS407" t="str">
            <v>--</v>
          </cell>
          <cell r="AT407" t="str">
            <v>--</v>
          </cell>
          <cell r="AU407" t="str">
            <v>--</v>
          </cell>
          <cell r="AV407" t="str">
            <v>--</v>
          </cell>
          <cell r="AW407" t="str">
            <v>--</v>
          </cell>
          <cell r="AX407" t="str">
            <v>--</v>
          </cell>
          <cell r="AY407" t="str">
            <v>--</v>
          </cell>
          <cell r="AZ407" t="str">
            <v>--</v>
          </cell>
          <cell r="BA407" t="str">
            <v>--</v>
          </cell>
          <cell r="BB407" t="str">
            <v>--</v>
          </cell>
          <cell r="BC407" t="str">
            <v>--</v>
          </cell>
          <cell r="BD407" t="str">
            <v>--</v>
          </cell>
          <cell r="BE407" t="str">
            <v>--</v>
          </cell>
          <cell r="BF407" t="str">
            <v>--</v>
          </cell>
          <cell r="BG407" t="str">
            <v>--</v>
          </cell>
          <cell r="BH407" t="str">
            <v>--</v>
          </cell>
          <cell r="BI407" t="str">
            <v>--</v>
          </cell>
          <cell r="BJ407" t="str">
            <v>--</v>
          </cell>
          <cell r="BK407" t="str">
            <v>--</v>
          </cell>
          <cell r="BL407" t="str">
            <v>--</v>
          </cell>
          <cell r="BM407" t="str">
            <v>--</v>
          </cell>
          <cell r="BN407" t="str">
            <v>--</v>
          </cell>
          <cell r="BO407" t="str">
            <v>--</v>
          </cell>
          <cell r="BP407" t="str">
            <v>--</v>
          </cell>
          <cell r="BQ407" t="str">
            <v>--</v>
          </cell>
          <cell r="BR407" t="str">
            <v>--</v>
          </cell>
          <cell r="BS407" t="str">
            <v>--</v>
          </cell>
          <cell r="BT407" t="str">
            <v>--</v>
          </cell>
          <cell r="BU407" t="str">
            <v>--</v>
          </cell>
          <cell r="BV407" t="str">
            <v>--</v>
          </cell>
          <cell r="BW407" t="str">
            <v>--</v>
          </cell>
          <cell r="BX407" t="str">
            <v>--</v>
          </cell>
          <cell r="BY407" t="str">
            <v>--</v>
          </cell>
          <cell r="BZ407" t="str">
            <v>--</v>
          </cell>
          <cell r="CA407" t="str">
            <v>--</v>
          </cell>
          <cell r="CB407" t="str">
            <v>--</v>
          </cell>
          <cell r="CC407" t="str">
            <v>--</v>
          </cell>
          <cell r="CD407" t="str">
            <v>--</v>
          </cell>
          <cell r="CE407" t="str">
            <v>--</v>
          </cell>
          <cell r="CF407" t="str">
            <v>--</v>
          </cell>
          <cell r="CG407" t="str">
            <v>--</v>
          </cell>
          <cell r="CH407" t="str">
            <v>--</v>
          </cell>
          <cell r="CI407" t="str">
            <v>--</v>
          </cell>
          <cell r="CJ407" t="str">
            <v>--</v>
          </cell>
          <cell r="CK407" t="str">
            <v>--</v>
          </cell>
          <cell r="CL407" t="str">
            <v>--</v>
          </cell>
          <cell r="CM407" t="str">
            <v>--</v>
          </cell>
          <cell r="CN407" t="str">
            <v>--</v>
          </cell>
          <cell r="CO407" t="str">
            <v>--</v>
          </cell>
          <cell r="CP407" t="str">
            <v>--</v>
          </cell>
          <cell r="CQ407" t="str">
            <v>--</v>
          </cell>
          <cell r="CR407" t="str">
            <v>--</v>
          </cell>
          <cell r="CS407" t="str">
            <v>--</v>
          </cell>
          <cell r="CT407" t="str">
            <v>--</v>
          </cell>
          <cell r="CU407" t="str">
            <v>--</v>
          </cell>
          <cell r="CV407" t="str">
            <v>--</v>
          </cell>
          <cell r="CW407" t="str">
            <v>--</v>
          </cell>
          <cell r="CX407" t="str">
            <v>--</v>
          </cell>
          <cell r="CY407" t="str">
            <v>--</v>
          </cell>
          <cell r="CZ407" t="str">
            <v>--</v>
          </cell>
          <cell r="DA407" t="str">
            <v>--</v>
          </cell>
          <cell r="DB407" t="str">
            <v>--</v>
          </cell>
          <cell r="DC407" t="str">
            <v>--</v>
          </cell>
          <cell r="DD407" t="str">
            <v>--</v>
          </cell>
          <cell r="DE407" t="str">
            <v>--</v>
          </cell>
          <cell r="DF407" t="str">
            <v>--</v>
          </cell>
          <cell r="DG407" t="str">
            <v>--</v>
          </cell>
          <cell r="DH407" t="str">
            <v>--</v>
          </cell>
          <cell r="DI407" t="str">
            <v>--</v>
          </cell>
          <cell r="DJ407" t="str">
            <v>--</v>
          </cell>
          <cell r="DK407" t="str">
            <v>--</v>
          </cell>
          <cell r="DL407" t="str">
            <v>--</v>
          </cell>
          <cell r="DM407" t="str">
            <v>--</v>
          </cell>
          <cell r="DN407" t="str">
            <v>--</v>
          </cell>
          <cell r="DO407" t="str">
            <v>--</v>
          </cell>
          <cell r="DP407" t="str">
            <v>--</v>
          </cell>
          <cell r="DQ407" t="str">
            <v>--</v>
          </cell>
          <cell r="DR407" t="str">
            <v>--</v>
          </cell>
          <cell r="DS407" t="str">
            <v>--</v>
          </cell>
          <cell r="DT407" t="str">
            <v>--</v>
          </cell>
          <cell r="DU407" t="str">
            <v>--</v>
          </cell>
          <cell r="DV407" t="str">
            <v>--</v>
          </cell>
          <cell r="DW407" t="str">
            <v>--</v>
          </cell>
          <cell r="DX407" t="str">
            <v>--</v>
          </cell>
          <cell r="DY407" t="str">
            <v>--</v>
          </cell>
          <cell r="DZ407" t="str">
            <v>--</v>
          </cell>
          <cell r="EA407" t="str">
            <v>--</v>
          </cell>
          <cell r="EB407" t="str">
            <v>--</v>
          </cell>
          <cell r="EC407" t="str">
            <v>--</v>
          </cell>
          <cell r="ED407" t="str">
            <v>--</v>
          </cell>
          <cell r="EE407" t="str">
            <v>--</v>
          </cell>
          <cell r="EF407" t="str">
            <v>--</v>
          </cell>
          <cell r="EG407" t="str">
            <v>--</v>
          </cell>
        </row>
        <row r="408">
          <cell r="A408" t="str">
            <v>03480050Nat. Haw. or Pacif. Isl.</v>
          </cell>
          <cell r="B408" t="str">
            <v>03480050P</v>
          </cell>
          <cell r="C408" t="str">
            <v>0348</v>
          </cell>
          <cell r="D408" t="str">
            <v>03480050</v>
          </cell>
          <cell r="E408" t="str">
            <v>Worcester</v>
          </cell>
          <cell r="F408" t="str">
            <v>Chandler Elementary Community</v>
          </cell>
          <cell r="G408" t="str">
            <v>ES</v>
          </cell>
          <cell r="H408" t="str">
            <v>Worcester - Chandler Elementary Community (03480050)</v>
          </cell>
          <cell r="I408" t="str">
            <v>Nat. Haw. or Pacif. Isl.</v>
          </cell>
          <cell r="J408" t="str">
            <v>03480050Nat. Haw. or Pacif. Isl.</v>
          </cell>
          <cell r="K408" t="str">
            <v>Level 4</v>
          </cell>
          <cell r="L408" t="str">
            <v>--</v>
          </cell>
          <cell r="M408" t="str">
            <v>--</v>
          </cell>
          <cell r="N408" t="str">
            <v>--</v>
          </cell>
          <cell r="O408" t="str">
            <v>--</v>
          </cell>
          <cell r="P408" t="str">
            <v>--</v>
          </cell>
          <cell r="Q408" t="str">
            <v>--</v>
          </cell>
          <cell r="R408" t="str">
            <v>--</v>
          </cell>
          <cell r="S408" t="str">
            <v>--</v>
          </cell>
          <cell r="T408" t="str">
            <v>--</v>
          </cell>
          <cell r="U408" t="str">
            <v>--</v>
          </cell>
          <cell r="V408" t="str">
            <v>--</v>
          </cell>
          <cell r="W408" t="str">
            <v>--</v>
          </cell>
          <cell r="X408" t="str">
            <v>--</v>
          </cell>
          <cell r="Y408" t="str">
            <v>--</v>
          </cell>
          <cell r="Z408" t="str">
            <v>--</v>
          </cell>
          <cell r="AA408" t="str">
            <v>--</v>
          </cell>
          <cell r="AB408" t="str">
            <v>--</v>
          </cell>
          <cell r="AC408" t="str">
            <v>--</v>
          </cell>
          <cell r="AD408" t="str">
            <v>--</v>
          </cell>
          <cell r="AE408" t="str">
            <v>--</v>
          </cell>
          <cell r="AF408" t="str">
            <v>--</v>
          </cell>
          <cell r="AG408" t="str">
            <v>--</v>
          </cell>
          <cell r="AH408" t="str">
            <v>--</v>
          </cell>
          <cell r="AI408" t="str">
            <v>--</v>
          </cell>
          <cell r="AJ408" t="str">
            <v>--</v>
          </cell>
          <cell r="AK408" t="str">
            <v>--</v>
          </cell>
          <cell r="AL408" t="str">
            <v>--</v>
          </cell>
          <cell r="AM408" t="str">
            <v>--</v>
          </cell>
          <cell r="AN408" t="str">
            <v>--</v>
          </cell>
          <cell r="AO408" t="str">
            <v>--</v>
          </cell>
          <cell r="AP408" t="str">
            <v>--</v>
          </cell>
          <cell r="AQ408" t="str">
            <v>--</v>
          </cell>
          <cell r="AR408" t="str">
            <v>--</v>
          </cell>
          <cell r="AS408" t="str">
            <v>--</v>
          </cell>
          <cell r="AT408" t="str">
            <v>--</v>
          </cell>
          <cell r="AU408" t="str">
            <v>--</v>
          </cell>
          <cell r="AV408" t="str">
            <v>--</v>
          </cell>
          <cell r="AW408" t="str">
            <v>--</v>
          </cell>
          <cell r="AX408" t="str">
            <v>--</v>
          </cell>
          <cell r="AY408" t="str">
            <v>--</v>
          </cell>
          <cell r="AZ408" t="str">
            <v>--</v>
          </cell>
          <cell r="BA408" t="str">
            <v>--</v>
          </cell>
          <cell r="BB408" t="str">
            <v>--</v>
          </cell>
          <cell r="BC408" t="str">
            <v>--</v>
          </cell>
          <cell r="BD408" t="str">
            <v>--</v>
          </cell>
          <cell r="BE408" t="str">
            <v>--</v>
          </cell>
          <cell r="BF408" t="str">
            <v>--</v>
          </cell>
          <cell r="BG408" t="str">
            <v>--</v>
          </cell>
          <cell r="BH408" t="str">
            <v>--</v>
          </cell>
          <cell r="BI408" t="str">
            <v>--</v>
          </cell>
          <cell r="BJ408" t="str">
            <v>--</v>
          </cell>
          <cell r="BK408" t="str">
            <v>--</v>
          </cell>
          <cell r="BL408" t="str">
            <v>--</v>
          </cell>
          <cell r="BM408" t="str">
            <v>--</v>
          </cell>
          <cell r="BN408" t="str">
            <v>--</v>
          </cell>
          <cell r="BO408" t="str">
            <v>--</v>
          </cell>
          <cell r="BP408" t="str">
            <v>--</v>
          </cell>
          <cell r="BQ408" t="str">
            <v>--</v>
          </cell>
          <cell r="BR408" t="str">
            <v>--</v>
          </cell>
          <cell r="BS408" t="str">
            <v>--</v>
          </cell>
          <cell r="BT408" t="str">
            <v>--</v>
          </cell>
          <cell r="BU408" t="str">
            <v>--</v>
          </cell>
          <cell r="BV408" t="str">
            <v>--</v>
          </cell>
          <cell r="BW408" t="str">
            <v>--</v>
          </cell>
          <cell r="BX408" t="str">
            <v>--</v>
          </cell>
          <cell r="BY408" t="str">
            <v>--</v>
          </cell>
          <cell r="BZ408" t="str">
            <v>--</v>
          </cell>
          <cell r="CA408" t="str">
            <v>--</v>
          </cell>
          <cell r="CB408" t="str">
            <v>--</v>
          </cell>
          <cell r="CC408" t="str">
            <v>--</v>
          </cell>
          <cell r="CD408" t="str">
            <v>--</v>
          </cell>
          <cell r="CE408" t="str">
            <v>--</v>
          </cell>
          <cell r="CF408" t="str">
            <v>--</v>
          </cell>
          <cell r="CG408" t="str">
            <v>--</v>
          </cell>
          <cell r="CH408" t="str">
            <v>--</v>
          </cell>
          <cell r="CI408" t="str">
            <v>--</v>
          </cell>
          <cell r="CJ408" t="str">
            <v>--</v>
          </cell>
          <cell r="CK408" t="str">
            <v>--</v>
          </cell>
          <cell r="CL408" t="str">
            <v>--</v>
          </cell>
          <cell r="CM408" t="str">
            <v>--</v>
          </cell>
          <cell r="CN408" t="str">
            <v>--</v>
          </cell>
          <cell r="CO408" t="str">
            <v>--</v>
          </cell>
          <cell r="CP408" t="str">
            <v>--</v>
          </cell>
          <cell r="CQ408" t="str">
            <v>--</v>
          </cell>
          <cell r="CR408" t="str">
            <v>--</v>
          </cell>
          <cell r="CS408" t="str">
            <v>--</v>
          </cell>
          <cell r="CT408" t="str">
            <v>--</v>
          </cell>
          <cell r="CU408" t="str">
            <v>--</v>
          </cell>
          <cell r="CV408" t="str">
            <v>--</v>
          </cell>
          <cell r="CW408" t="str">
            <v>--</v>
          </cell>
          <cell r="CX408" t="str">
            <v>--</v>
          </cell>
          <cell r="CY408" t="str">
            <v>--</v>
          </cell>
          <cell r="CZ408" t="str">
            <v>--</v>
          </cell>
          <cell r="DA408" t="str">
            <v>--</v>
          </cell>
          <cell r="DB408" t="str">
            <v>--</v>
          </cell>
          <cell r="DC408" t="str">
            <v>--</v>
          </cell>
          <cell r="DD408" t="str">
            <v>--</v>
          </cell>
          <cell r="DE408" t="str">
            <v>--</v>
          </cell>
          <cell r="DF408" t="str">
            <v>--</v>
          </cell>
          <cell r="DG408" t="str">
            <v>--</v>
          </cell>
          <cell r="DH408" t="str">
            <v>--</v>
          </cell>
          <cell r="DI408" t="str">
            <v>--</v>
          </cell>
          <cell r="DJ408" t="str">
            <v>--</v>
          </cell>
          <cell r="DK408" t="str">
            <v>--</v>
          </cell>
          <cell r="DL408" t="str">
            <v>--</v>
          </cell>
          <cell r="DM408" t="str">
            <v>--</v>
          </cell>
          <cell r="DN408" t="str">
            <v>--</v>
          </cell>
          <cell r="DO408" t="str">
            <v>--</v>
          </cell>
          <cell r="DP408" t="str">
            <v>--</v>
          </cell>
          <cell r="DQ408" t="str">
            <v>--</v>
          </cell>
          <cell r="DR408" t="str">
            <v>--</v>
          </cell>
          <cell r="DS408" t="str">
            <v>--</v>
          </cell>
          <cell r="DT408" t="str">
            <v>--</v>
          </cell>
          <cell r="DU408" t="str">
            <v>--</v>
          </cell>
          <cell r="DV408" t="str">
            <v>--</v>
          </cell>
          <cell r="DW408" t="str">
            <v>--</v>
          </cell>
          <cell r="DX408" t="str">
            <v>--</v>
          </cell>
          <cell r="DY408" t="str">
            <v>--</v>
          </cell>
          <cell r="DZ408" t="str">
            <v>--</v>
          </cell>
          <cell r="EA408" t="str">
            <v>--</v>
          </cell>
          <cell r="EB408" t="str">
            <v>--</v>
          </cell>
          <cell r="EC408" t="str">
            <v>--</v>
          </cell>
          <cell r="ED408" t="str">
            <v>--</v>
          </cell>
          <cell r="EE408" t="str">
            <v>--</v>
          </cell>
          <cell r="EF408" t="str">
            <v>--</v>
          </cell>
          <cell r="EG408" t="str">
            <v>--</v>
          </cell>
        </row>
        <row r="409">
          <cell r="A409" t="str">
            <v>03480050High needs</v>
          </cell>
          <cell r="B409" t="str">
            <v>03480050S</v>
          </cell>
          <cell r="C409" t="str">
            <v>0348</v>
          </cell>
          <cell r="D409" t="str">
            <v>03480050</v>
          </cell>
          <cell r="E409" t="str">
            <v>Worcester</v>
          </cell>
          <cell r="F409" t="str">
            <v>Chandler Elementary Community</v>
          </cell>
          <cell r="G409" t="str">
            <v>ES</v>
          </cell>
          <cell r="H409" t="str">
            <v>Worcester - Chandler Elementary Community (03480050)</v>
          </cell>
          <cell r="I409" t="str">
            <v>High needs</v>
          </cell>
          <cell r="J409" t="str">
            <v>03480050High needs</v>
          </cell>
          <cell r="K409" t="str">
            <v>Level 4</v>
          </cell>
          <cell r="L409">
            <v>59.3</v>
          </cell>
          <cell r="M409">
            <v>62.7</v>
          </cell>
          <cell r="N409">
            <v>54.6</v>
          </cell>
          <cell r="O409">
            <v>66.099999999999994</v>
          </cell>
          <cell r="P409">
            <v>60.6</v>
          </cell>
          <cell r="Q409">
            <v>70.8</v>
          </cell>
          <cell r="R409">
            <v>74.2</v>
          </cell>
          <cell r="S409">
            <v>77.599999999999994</v>
          </cell>
          <cell r="T409">
            <v>81</v>
          </cell>
          <cell r="U409">
            <v>57.1</v>
          </cell>
          <cell r="V409">
            <v>60.7</v>
          </cell>
          <cell r="W409">
            <v>47.9</v>
          </cell>
          <cell r="X409">
            <v>64.3</v>
          </cell>
          <cell r="Y409">
            <v>53.7</v>
          </cell>
          <cell r="Z409">
            <v>69.099999999999994</v>
          </cell>
          <cell r="AA409">
            <v>72.7</v>
          </cell>
          <cell r="AB409">
            <v>76.3</v>
          </cell>
          <cell r="AC409">
            <v>79.900000000000006</v>
          </cell>
          <cell r="AD409">
            <v>40.4</v>
          </cell>
          <cell r="AE409">
            <v>45.4</v>
          </cell>
          <cell r="AF409">
            <v>43.3</v>
          </cell>
          <cell r="AG409">
            <v>50.3</v>
          </cell>
          <cell r="AH409">
            <v>43.6</v>
          </cell>
          <cell r="AI409">
            <v>56.6</v>
          </cell>
          <cell r="AJ409">
            <v>61.6</v>
          </cell>
          <cell r="AK409">
            <v>66.5</v>
          </cell>
          <cell r="AL409">
            <v>71.5</v>
          </cell>
          <cell r="AM409" t="str">
            <v>--</v>
          </cell>
          <cell r="AN409" t="str">
            <v>--</v>
          </cell>
          <cell r="AO409" t="str">
            <v>--</v>
          </cell>
          <cell r="AP409" t="str">
            <v>--</v>
          </cell>
          <cell r="AQ409" t="str">
            <v>--</v>
          </cell>
          <cell r="AR409" t="str">
            <v>--</v>
          </cell>
          <cell r="AS409" t="str">
            <v>--</v>
          </cell>
          <cell r="AT409" t="str">
            <v>--</v>
          </cell>
          <cell r="AU409" t="str">
            <v>--</v>
          </cell>
          <cell r="AV409" t="str">
            <v>--</v>
          </cell>
          <cell r="AW409" t="str">
            <v>--</v>
          </cell>
          <cell r="AX409" t="str">
            <v>--</v>
          </cell>
          <cell r="AY409" t="str">
            <v>--</v>
          </cell>
          <cell r="AZ409" t="str">
            <v>--</v>
          </cell>
          <cell r="BA409" t="str">
            <v>--</v>
          </cell>
          <cell r="BB409" t="str">
            <v>--</v>
          </cell>
          <cell r="BC409" t="str">
            <v>--</v>
          </cell>
          <cell r="BD409" t="str">
            <v>--</v>
          </cell>
          <cell r="BE409" t="str">
            <v>--</v>
          </cell>
          <cell r="BF409" t="str">
            <v>--</v>
          </cell>
          <cell r="BG409" t="str">
            <v>--</v>
          </cell>
          <cell r="BH409" t="str">
            <v>--</v>
          </cell>
          <cell r="BI409" t="str">
            <v>--</v>
          </cell>
          <cell r="BJ409" t="str">
            <v>--</v>
          </cell>
          <cell r="BK409" t="str">
            <v>--</v>
          </cell>
          <cell r="BL409" t="str">
            <v>--</v>
          </cell>
          <cell r="BM409" t="str">
            <v>--</v>
          </cell>
          <cell r="BN409">
            <v>51.5</v>
          </cell>
          <cell r="BO409">
            <v>51</v>
          </cell>
          <cell r="BP409">
            <v>54</v>
          </cell>
          <cell r="BQ409">
            <v>51</v>
          </cell>
          <cell r="BR409">
            <v>57.5</v>
          </cell>
          <cell r="BS409">
            <v>60</v>
          </cell>
          <cell r="BT409">
            <v>60</v>
          </cell>
          <cell r="BU409">
            <v>60</v>
          </cell>
          <cell r="BV409">
            <v>60</v>
          </cell>
          <cell r="BW409">
            <v>52</v>
          </cell>
          <cell r="BX409">
            <v>51</v>
          </cell>
          <cell r="BY409">
            <v>48</v>
          </cell>
          <cell r="BZ409">
            <v>51</v>
          </cell>
          <cell r="CA409">
            <v>58</v>
          </cell>
          <cell r="CB409">
            <v>60</v>
          </cell>
          <cell r="CC409">
            <v>60</v>
          </cell>
          <cell r="CD409">
            <v>60</v>
          </cell>
          <cell r="CE409">
            <v>60</v>
          </cell>
          <cell r="CF409">
            <v>30.7</v>
          </cell>
          <cell r="CG409">
            <v>27.6</v>
          </cell>
          <cell r="CH409">
            <v>32.4</v>
          </cell>
          <cell r="CI409">
            <v>29.2</v>
          </cell>
          <cell r="CJ409">
            <v>28.2</v>
          </cell>
          <cell r="CK409">
            <v>25.4</v>
          </cell>
          <cell r="CL409">
            <v>22.8</v>
          </cell>
          <cell r="CM409">
            <v>20.6</v>
          </cell>
          <cell r="CN409">
            <v>18.5</v>
          </cell>
          <cell r="CO409">
            <v>34</v>
          </cell>
          <cell r="CP409">
            <v>30.6</v>
          </cell>
          <cell r="CQ409">
            <v>47.9</v>
          </cell>
          <cell r="CR409">
            <v>43.1</v>
          </cell>
          <cell r="CS409">
            <v>38.700000000000003</v>
          </cell>
          <cell r="CT409">
            <v>34.799999999999997</v>
          </cell>
          <cell r="CU409">
            <v>31.3</v>
          </cell>
          <cell r="CV409">
            <v>28.2</v>
          </cell>
          <cell r="CW409">
            <v>25.4</v>
          </cell>
          <cell r="CX409">
            <v>63.5</v>
          </cell>
          <cell r="CY409">
            <v>57.2</v>
          </cell>
          <cell r="CZ409">
            <v>53.8</v>
          </cell>
          <cell r="DA409">
            <v>48.4</v>
          </cell>
          <cell r="DB409">
            <v>45.7</v>
          </cell>
          <cell r="DC409">
            <v>41.1</v>
          </cell>
          <cell r="DD409">
            <v>37</v>
          </cell>
          <cell r="DE409">
            <v>33.299999999999997</v>
          </cell>
          <cell r="DF409">
            <v>30</v>
          </cell>
          <cell r="DG409">
            <v>0.7</v>
          </cell>
          <cell r="DH409">
            <v>0.8</v>
          </cell>
          <cell r="DI409">
            <v>0.7</v>
          </cell>
          <cell r="DJ409">
            <v>0.8</v>
          </cell>
          <cell r="DK409">
            <v>0.7</v>
          </cell>
          <cell r="DL409">
            <v>0.8</v>
          </cell>
          <cell r="DM409">
            <v>0.8</v>
          </cell>
          <cell r="DN409">
            <v>0.9</v>
          </cell>
          <cell r="DO409">
            <v>1</v>
          </cell>
          <cell r="DP409">
            <v>2</v>
          </cell>
          <cell r="DQ409">
            <v>2.2000000000000002</v>
          </cell>
          <cell r="DR409">
            <v>1.4</v>
          </cell>
          <cell r="DS409">
            <v>1.5</v>
          </cell>
          <cell r="DT409">
            <v>4.2</v>
          </cell>
          <cell r="DU409">
            <v>4.5999999999999996</v>
          </cell>
          <cell r="DV409">
            <v>5.0999999999999996</v>
          </cell>
          <cell r="DW409">
            <v>5.6</v>
          </cell>
          <cell r="DX409">
            <v>6.1</v>
          </cell>
          <cell r="DY409">
            <v>0</v>
          </cell>
          <cell r="DZ409">
            <v>1</v>
          </cell>
          <cell r="EA409">
            <v>0</v>
          </cell>
          <cell r="EB409">
            <v>1</v>
          </cell>
          <cell r="EC409">
            <v>0</v>
          </cell>
          <cell r="ED409">
            <v>1</v>
          </cell>
          <cell r="EE409">
            <v>1.1000000000000001</v>
          </cell>
          <cell r="EF409">
            <v>1.2</v>
          </cell>
          <cell r="EG409">
            <v>1.3</v>
          </cell>
        </row>
        <row r="410">
          <cell r="A410" t="str">
            <v>03480050All students</v>
          </cell>
          <cell r="B410" t="str">
            <v>03480050T</v>
          </cell>
          <cell r="C410" t="str">
            <v>0348</v>
          </cell>
          <cell r="D410" t="str">
            <v>03480050</v>
          </cell>
          <cell r="E410" t="str">
            <v>Worcester</v>
          </cell>
          <cell r="F410" t="str">
            <v>Chandler Elementary Community</v>
          </cell>
          <cell r="G410" t="str">
            <v>ES</v>
          </cell>
          <cell r="H410" t="str">
            <v>Worcester - Chandler Elementary Community (03480050)</v>
          </cell>
          <cell r="I410" t="str">
            <v>All students</v>
          </cell>
          <cell r="J410" t="str">
            <v>03480050All students</v>
          </cell>
          <cell r="K410" t="str">
            <v>Level 4</v>
          </cell>
          <cell r="L410">
            <v>59</v>
          </cell>
          <cell r="M410">
            <v>62.4</v>
          </cell>
          <cell r="N410">
            <v>55.5</v>
          </cell>
          <cell r="O410">
            <v>65.8</v>
          </cell>
          <cell r="P410">
            <v>60.6</v>
          </cell>
          <cell r="Q410">
            <v>70.599999999999994</v>
          </cell>
          <cell r="R410">
            <v>74</v>
          </cell>
          <cell r="S410">
            <v>77.400000000000006</v>
          </cell>
          <cell r="T410">
            <v>80.8</v>
          </cell>
          <cell r="U410">
            <v>56.9</v>
          </cell>
          <cell r="V410">
            <v>60.5</v>
          </cell>
          <cell r="W410">
            <v>48.5</v>
          </cell>
          <cell r="X410">
            <v>64.099999999999994</v>
          </cell>
          <cell r="Y410">
            <v>53.7</v>
          </cell>
          <cell r="Z410">
            <v>69</v>
          </cell>
          <cell r="AA410">
            <v>72.599999999999994</v>
          </cell>
          <cell r="AB410">
            <v>76.2</v>
          </cell>
          <cell r="AC410">
            <v>79.8</v>
          </cell>
          <cell r="AD410">
            <v>40.1</v>
          </cell>
          <cell r="AE410">
            <v>45.1</v>
          </cell>
          <cell r="AF410">
            <v>45.5</v>
          </cell>
          <cell r="AG410">
            <v>50.1</v>
          </cell>
          <cell r="AH410">
            <v>43.6</v>
          </cell>
          <cell r="AI410">
            <v>56.4</v>
          </cell>
          <cell r="AJ410">
            <v>61.4</v>
          </cell>
          <cell r="AK410">
            <v>66.400000000000006</v>
          </cell>
          <cell r="AL410">
            <v>71.400000000000006</v>
          </cell>
          <cell r="AM410" t="str">
            <v>--</v>
          </cell>
          <cell r="AN410" t="str">
            <v>--</v>
          </cell>
          <cell r="AO410" t="str">
            <v>--</v>
          </cell>
          <cell r="AP410" t="str">
            <v>--</v>
          </cell>
          <cell r="AQ410" t="str">
            <v>--</v>
          </cell>
          <cell r="AR410" t="str">
            <v>--</v>
          </cell>
          <cell r="AS410" t="str">
            <v>--</v>
          </cell>
          <cell r="AT410" t="str">
            <v>--</v>
          </cell>
          <cell r="AU410" t="str">
            <v>--</v>
          </cell>
          <cell r="AV410" t="str">
            <v>--</v>
          </cell>
          <cell r="AW410" t="str">
            <v>--</v>
          </cell>
          <cell r="AX410" t="str">
            <v>--</v>
          </cell>
          <cell r="AY410" t="str">
            <v>--</v>
          </cell>
          <cell r="AZ410" t="str">
            <v>--</v>
          </cell>
          <cell r="BA410" t="str">
            <v>--</v>
          </cell>
          <cell r="BB410" t="str">
            <v>--</v>
          </cell>
          <cell r="BC410" t="str">
            <v>--</v>
          </cell>
          <cell r="BD410" t="str">
            <v>--</v>
          </cell>
          <cell r="BE410" t="str">
            <v>--</v>
          </cell>
          <cell r="BF410" t="str">
            <v>--</v>
          </cell>
          <cell r="BG410" t="str">
            <v>--</v>
          </cell>
          <cell r="BH410" t="str">
            <v>--</v>
          </cell>
          <cell r="BI410" t="str">
            <v>--</v>
          </cell>
          <cell r="BJ410" t="str">
            <v>--</v>
          </cell>
          <cell r="BK410" t="str">
            <v>--</v>
          </cell>
          <cell r="BL410" t="str">
            <v>--</v>
          </cell>
          <cell r="BM410" t="str">
            <v>--</v>
          </cell>
          <cell r="BN410">
            <v>51.5</v>
          </cell>
          <cell r="BO410">
            <v>51</v>
          </cell>
          <cell r="BP410">
            <v>51</v>
          </cell>
          <cell r="BQ410">
            <v>51</v>
          </cell>
          <cell r="BR410">
            <v>57.5</v>
          </cell>
          <cell r="BS410">
            <v>60</v>
          </cell>
          <cell r="BT410">
            <v>60</v>
          </cell>
          <cell r="BU410">
            <v>60</v>
          </cell>
          <cell r="BV410">
            <v>60</v>
          </cell>
          <cell r="BW410">
            <v>52</v>
          </cell>
          <cell r="BX410">
            <v>51</v>
          </cell>
          <cell r="BY410">
            <v>48</v>
          </cell>
          <cell r="BZ410">
            <v>51</v>
          </cell>
          <cell r="CA410">
            <v>58</v>
          </cell>
          <cell r="CB410">
            <v>60</v>
          </cell>
          <cell r="CC410">
            <v>60</v>
          </cell>
          <cell r="CD410">
            <v>60</v>
          </cell>
          <cell r="CE410">
            <v>60</v>
          </cell>
          <cell r="CF410">
            <v>30.9</v>
          </cell>
          <cell r="CG410">
            <v>27.8</v>
          </cell>
          <cell r="CH410">
            <v>31.5</v>
          </cell>
          <cell r="CI410">
            <v>28.4</v>
          </cell>
          <cell r="CJ410">
            <v>28.2</v>
          </cell>
          <cell r="CK410">
            <v>25.4</v>
          </cell>
          <cell r="CL410">
            <v>22.8</v>
          </cell>
          <cell r="CM410">
            <v>20.6</v>
          </cell>
          <cell r="CN410">
            <v>18.5</v>
          </cell>
          <cell r="CO410">
            <v>34.200000000000003</v>
          </cell>
          <cell r="CP410">
            <v>30.8</v>
          </cell>
          <cell r="CQ410">
            <v>47.3</v>
          </cell>
          <cell r="CR410">
            <v>42.6</v>
          </cell>
          <cell r="CS410">
            <v>38.700000000000003</v>
          </cell>
          <cell r="CT410">
            <v>34.799999999999997</v>
          </cell>
          <cell r="CU410">
            <v>31.3</v>
          </cell>
          <cell r="CV410">
            <v>28.2</v>
          </cell>
          <cell r="CW410">
            <v>25.4</v>
          </cell>
          <cell r="CX410">
            <v>64.2</v>
          </cell>
          <cell r="CY410">
            <v>57.8</v>
          </cell>
          <cell r="CZ410">
            <v>50</v>
          </cell>
          <cell r="DA410">
            <v>45</v>
          </cell>
          <cell r="DB410">
            <v>45.7</v>
          </cell>
          <cell r="DC410">
            <v>41.1</v>
          </cell>
          <cell r="DD410">
            <v>37</v>
          </cell>
          <cell r="DE410">
            <v>33.299999999999997</v>
          </cell>
          <cell r="DF410">
            <v>30</v>
          </cell>
          <cell r="DG410">
            <v>0.7</v>
          </cell>
          <cell r="DH410">
            <v>0.8</v>
          </cell>
          <cell r="DI410">
            <v>0.7</v>
          </cell>
          <cell r="DJ410">
            <v>0.8</v>
          </cell>
          <cell r="DK410">
            <v>0.7</v>
          </cell>
          <cell r="DL410">
            <v>0.8</v>
          </cell>
          <cell r="DM410">
            <v>0.8</v>
          </cell>
          <cell r="DN410">
            <v>0.9</v>
          </cell>
          <cell r="DO410">
            <v>1</v>
          </cell>
          <cell r="DP410">
            <v>2</v>
          </cell>
          <cell r="DQ410">
            <v>2.2000000000000002</v>
          </cell>
          <cell r="DR410">
            <v>2.1</v>
          </cell>
          <cell r="DS410">
            <v>2.2999999999999998</v>
          </cell>
          <cell r="DT410">
            <v>4.2</v>
          </cell>
          <cell r="DU410">
            <v>4.5999999999999996</v>
          </cell>
          <cell r="DV410">
            <v>5.0999999999999996</v>
          </cell>
          <cell r="DW410">
            <v>5.6</v>
          </cell>
          <cell r="DX410">
            <v>6.1</v>
          </cell>
          <cell r="DY410">
            <v>0</v>
          </cell>
          <cell r="DZ410">
            <v>1</v>
          </cell>
          <cell r="EA410">
            <v>0</v>
          </cell>
          <cell r="EB410">
            <v>1</v>
          </cell>
          <cell r="EC410">
            <v>0</v>
          </cell>
          <cell r="ED410">
            <v>1</v>
          </cell>
          <cell r="EE410">
            <v>1.1000000000000001</v>
          </cell>
          <cell r="EF410">
            <v>1.2</v>
          </cell>
          <cell r="EG410">
            <v>1.3</v>
          </cell>
        </row>
        <row r="411">
          <cell r="A411" t="str">
            <v>06150020Asian</v>
          </cell>
          <cell r="B411" t="str">
            <v>06150020A</v>
          </cell>
          <cell r="C411" t="str">
            <v>0615</v>
          </cell>
          <cell r="D411" t="str">
            <v>06150020</v>
          </cell>
          <cell r="E411" t="str">
            <v>Athol-Royalston</v>
          </cell>
          <cell r="F411" t="str">
            <v>Riverbend-Sanders Street School</v>
          </cell>
          <cell r="G411" t="str">
            <v>ES</v>
          </cell>
          <cell r="H411" t="str">
            <v>Athol-Royalston - Riverbend-Sanders Street School (06150020)</v>
          </cell>
          <cell r="I411" t="str">
            <v>Asian</v>
          </cell>
          <cell r="J411" t="str">
            <v>06150020Asian</v>
          </cell>
          <cell r="K411" t="str">
            <v>--</v>
          </cell>
          <cell r="L411" t="str">
            <v>--</v>
          </cell>
          <cell r="M411" t="str">
            <v>--</v>
          </cell>
          <cell r="N411" t="str">
            <v>--</v>
          </cell>
          <cell r="O411" t="str">
            <v>--</v>
          </cell>
          <cell r="P411" t="str">
            <v>--</v>
          </cell>
          <cell r="Q411" t="str">
            <v>--</v>
          </cell>
          <cell r="R411" t="str">
            <v>--</v>
          </cell>
          <cell r="S411" t="str">
            <v>--</v>
          </cell>
          <cell r="T411" t="str">
            <v>--</v>
          </cell>
          <cell r="U411" t="str">
            <v>--</v>
          </cell>
          <cell r="V411" t="str">
            <v>--</v>
          </cell>
          <cell r="W411" t="str">
            <v>--</v>
          </cell>
          <cell r="X411" t="str">
            <v>--</v>
          </cell>
          <cell r="Y411" t="str">
            <v>--</v>
          </cell>
          <cell r="Z411" t="str">
            <v>--</v>
          </cell>
          <cell r="AA411" t="str">
            <v>--</v>
          </cell>
          <cell r="AB411" t="str">
            <v>--</v>
          </cell>
          <cell r="AC411" t="str">
            <v>--</v>
          </cell>
          <cell r="AD411" t="str">
            <v>--</v>
          </cell>
          <cell r="AE411" t="str">
            <v>--</v>
          </cell>
          <cell r="AF411" t="str">
            <v>--</v>
          </cell>
          <cell r="AG411" t="str">
            <v>--</v>
          </cell>
          <cell r="AH411" t="str">
            <v>--</v>
          </cell>
          <cell r="AI411" t="str">
            <v>--</v>
          </cell>
          <cell r="AJ411" t="str">
            <v>--</v>
          </cell>
          <cell r="AK411" t="str">
            <v>--</v>
          </cell>
          <cell r="AL411" t="str">
            <v>--</v>
          </cell>
          <cell r="AM411" t="str">
            <v>--</v>
          </cell>
          <cell r="AN411" t="str">
            <v>--</v>
          </cell>
          <cell r="AO411" t="str">
            <v>--</v>
          </cell>
          <cell r="AP411" t="str">
            <v>--</v>
          </cell>
          <cell r="AQ411" t="str">
            <v>--</v>
          </cell>
          <cell r="AR411" t="str">
            <v>--</v>
          </cell>
          <cell r="AS411" t="str">
            <v>--</v>
          </cell>
          <cell r="AT411" t="str">
            <v>--</v>
          </cell>
          <cell r="AU411" t="str">
            <v>--</v>
          </cell>
          <cell r="AV411" t="str">
            <v>--</v>
          </cell>
          <cell r="AW411" t="str">
            <v>--</v>
          </cell>
          <cell r="AX411" t="str">
            <v>--</v>
          </cell>
          <cell r="AY411" t="str">
            <v>--</v>
          </cell>
          <cell r="AZ411" t="str">
            <v>--</v>
          </cell>
          <cell r="BA411" t="str">
            <v>--</v>
          </cell>
          <cell r="BB411" t="str">
            <v>--</v>
          </cell>
          <cell r="BC411" t="str">
            <v>--</v>
          </cell>
          <cell r="BD411" t="str">
            <v>--</v>
          </cell>
          <cell r="BE411" t="str">
            <v>--</v>
          </cell>
          <cell r="BF411" t="str">
            <v>--</v>
          </cell>
          <cell r="BG411" t="str">
            <v>--</v>
          </cell>
          <cell r="BH411" t="str">
            <v>--</v>
          </cell>
          <cell r="BI411" t="str">
            <v>--</v>
          </cell>
          <cell r="BJ411" t="str">
            <v>--</v>
          </cell>
          <cell r="BK411" t="str">
            <v>--</v>
          </cell>
          <cell r="BL411" t="str">
            <v>--</v>
          </cell>
          <cell r="BM411" t="str">
            <v>--</v>
          </cell>
          <cell r="BN411" t="str">
            <v>--</v>
          </cell>
          <cell r="BO411" t="str">
            <v>--</v>
          </cell>
          <cell r="BP411" t="str">
            <v>--</v>
          </cell>
          <cell r="BQ411" t="str">
            <v>--</v>
          </cell>
          <cell r="BR411" t="str">
            <v>--</v>
          </cell>
          <cell r="BS411" t="str">
            <v>--</v>
          </cell>
          <cell r="BT411" t="str">
            <v>--</v>
          </cell>
          <cell r="BU411" t="str">
            <v>--</v>
          </cell>
          <cell r="BV411" t="str">
            <v>--</v>
          </cell>
          <cell r="BW411" t="str">
            <v>--</v>
          </cell>
          <cell r="BX411" t="str">
            <v>--</v>
          </cell>
          <cell r="BY411" t="str">
            <v>--</v>
          </cell>
          <cell r="BZ411" t="str">
            <v>--</v>
          </cell>
          <cell r="CA411" t="str">
            <v>--</v>
          </cell>
          <cell r="CB411" t="str">
            <v>--</v>
          </cell>
          <cell r="CC411" t="str">
            <v>--</v>
          </cell>
          <cell r="CD411" t="str">
            <v>--</v>
          </cell>
          <cell r="CE411" t="str">
            <v>--</v>
          </cell>
          <cell r="CF411" t="str">
            <v>--</v>
          </cell>
          <cell r="CG411" t="str">
            <v>--</v>
          </cell>
          <cell r="CH411" t="str">
            <v>--</v>
          </cell>
          <cell r="CI411" t="str">
            <v>--</v>
          </cell>
          <cell r="CJ411" t="str">
            <v>--</v>
          </cell>
          <cell r="CK411" t="str">
            <v>--</v>
          </cell>
          <cell r="CL411" t="str">
            <v>--</v>
          </cell>
          <cell r="CM411" t="str">
            <v>--</v>
          </cell>
          <cell r="CN411" t="str">
            <v>--</v>
          </cell>
          <cell r="CO411" t="str">
            <v>--</v>
          </cell>
          <cell r="CP411" t="str">
            <v>--</v>
          </cell>
          <cell r="CQ411" t="str">
            <v>--</v>
          </cell>
          <cell r="CR411" t="str">
            <v>--</v>
          </cell>
          <cell r="CS411" t="str">
            <v>--</v>
          </cell>
          <cell r="CT411" t="str">
            <v>--</v>
          </cell>
          <cell r="CU411" t="str">
            <v>--</v>
          </cell>
          <cell r="CV411" t="str">
            <v>--</v>
          </cell>
          <cell r="CW411" t="str">
            <v>--</v>
          </cell>
          <cell r="CX411" t="str">
            <v>--</v>
          </cell>
          <cell r="CY411" t="str">
            <v>--</v>
          </cell>
          <cell r="CZ411" t="str">
            <v>--</v>
          </cell>
          <cell r="DA411" t="str">
            <v>--</v>
          </cell>
          <cell r="DB411" t="str">
            <v>--</v>
          </cell>
          <cell r="DC411" t="str">
            <v>--</v>
          </cell>
          <cell r="DD411" t="str">
            <v>--</v>
          </cell>
          <cell r="DE411" t="str">
            <v>--</v>
          </cell>
          <cell r="DF411" t="str">
            <v>--</v>
          </cell>
          <cell r="DG411" t="str">
            <v>--</v>
          </cell>
          <cell r="DH411" t="str">
            <v>--</v>
          </cell>
          <cell r="DI411" t="str">
            <v>--</v>
          </cell>
          <cell r="DJ411" t="str">
            <v>--</v>
          </cell>
          <cell r="DK411" t="str">
            <v>--</v>
          </cell>
          <cell r="DL411" t="str">
            <v>--</v>
          </cell>
          <cell r="DM411" t="str">
            <v>--</v>
          </cell>
          <cell r="DN411" t="str">
            <v>--</v>
          </cell>
          <cell r="DO411" t="str">
            <v>--</v>
          </cell>
          <cell r="DP411" t="str">
            <v>--</v>
          </cell>
          <cell r="DQ411" t="str">
            <v>--</v>
          </cell>
          <cell r="DR411" t="str">
            <v>--</v>
          </cell>
          <cell r="DS411" t="str">
            <v>--</v>
          </cell>
          <cell r="DT411" t="str">
            <v>--</v>
          </cell>
          <cell r="DU411" t="str">
            <v>--</v>
          </cell>
          <cell r="DV411" t="str">
            <v>--</v>
          </cell>
          <cell r="DW411" t="str">
            <v>--</v>
          </cell>
          <cell r="DX411" t="str">
            <v>--</v>
          </cell>
          <cell r="DY411" t="str">
            <v>--</v>
          </cell>
          <cell r="DZ411" t="str">
            <v>--</v>
          </cell>
          <cell r="EA411" t="str">
            <v>--</v>
          </cell>
          <cell r="EB411" t="str">
            <v>--</v>
          </cell>
          <cell r="EC411" t="str">
            <v>--</v>
          </cell>
          <cell r="ED411" t="str">
            <v>--</v>
          </cell>
          <cell r="EE411" t="str">
            <v>--</v>
          </cell>
          <cell r="EF411" t="str">
            <v>--</v>
          </cell>
          <cell r="EG411" t="str">
            <v>--</v>
          </cell>
        </row>
        <row r="412">
          <cell r="A412" t="str">
            <v>06150020Afr. Amer/Black</v>
          </cell>
          <cell r="B412" t="str">
            <v>06150020B</v>
          </cell>
          <cell r="C412" t="str">
            <v>0615</v>
          </cell>
          <cell r="D412" t="str">
            <v>06150020</v>
          </cell>
          <cell r="E412" t="str">
            <v>Athol-Royalston</v>
          </cell>
          <cell r="F412" t="str">
            <v>Riverbend-Sanders Street School</v>
          </cell>
          <cell r="G412" t="str">
            <v>ES</v>
          </cell>
          <cell r="H412" t="str">
            <v>Athol-Royalston - Riverbend-Sanders Street School (06150020)</v>
          </cell>
          <cell r="I412" t="str">
            <v>Afr. Amer/Black</v>
          </cell>
          <cell r="J412" t="str">
            <v>06150020Afr. Amer/Black</v>
          </cell>
          <cell r="K412" t="str">
            <v>--</v>
          </cell>
          <cell r="L412" t="str">
            <v>--</v>
          </cell>
          <cell r="M412" t="str">
            <v>--</v>
          </cell>
          <cell r="N412" t="str">
            <v>--</v>
          </cell>
          <cell r="O412" t="str">
            <v>--</v>
          </cell>
          <cell r="P412" t="str">
            <v>--</v>
          </cell>
          <cell r="Q412" t="str">
            <v>--</v>
          </cell>
          <cell r="R412" t="str">
            <v>--</v>
          </cell>
          <cell r="S412" t="str">
            <v>--</v>
          </cell>
          <cell r="T412" t="str">
            <v>--</v>
          </cell>
          <cell r="U412" t="str">
            <v>--</v>
          </cell>
          <cell r="V412" t="str">
            <v>--</v>
          </cell>
          <cell r="W412" t="str">
            <v>--</v>
          </cell>
          <cell r="X412" t="str">
            <v>--</v>
          </cell>
          <cell r="Y412" t="str">
            <v>--</v>
          </cell>
          <cell r="Z412" t="str">
            <v>--</v>
          </cell>
          <cell r="AA412" t="str">
            <v>--</v>
          </cell>
          <cell r="AB412" t="str">
            <v>--</v>
          </cell>
          <cell r="AC412" t="str">
            <v>--</v>
          </cell>
          <cell r="AD412" t="str">
            <v>--</v>
          </cell>
          <cell r="AE412" t="str">
            <v>--</v>
          </cell>
          <cell r="AF412" t="str">
            <v>--</v>
          </cell>
          <cell r="AG412" t="str">
            <v>--</v>
          </cell>
          <cell r="AH412" t="str">
            <v>--</v>
          </cell>
          <cell r="AI412" t="str">
            <v>--</v>
          </cell>
          <cell r="AJ412" t="str">
            <v>--</v>
          </cell>
          <cell r="AK412" t="str">
            <v>--</v>
          </cell>
          <cell r="AL412" t="str">
            <v>--</v>
          </cell>
          <cell r="AM412" t="str">
            <v>--</v>
          </cell>
          <cell r="AN412" t="str">
            <v>--</v>
          </cell>
          <cell r="AO412" t="str">
            <v>--</v>
          </cell>
          <cell r="AP412" t="str">
            <v>--</v>
          </cell>
          <cell r="AQ412" t="str">
            <v>--</v>
          </cell>
          <cell r="AR412" t="str">
            <v>--</v>
          </cell>
          <cell r="AS412" t="str">
            <v>--</v>
          </cell>
          <cell r="AT412" t="str">
            <v>--</v>
          </cell>
          <cell r="AU412" t="str">
            <v>--</v>
          </cell>
          <cell r="AV412" t="str">
            <v>--</v>
          </cell>
          <cell r="AW412" t="str">
            <v>--</v>
          </cell>
          <cell r="AX412" t="str">
            <v>--</v>
          </cell>
          <cell r="AY412" t="str">
            <v>--</v>
          </cell>
          <cell r="AZ412" t="str">
            <v>--</v>
          </cell>
          <cell r="BA412" t="str">
            <v>--</v>
          </cell>
          <cell r="BB412" t="str">
            <v>--</v>
          </cell>
          <cell r="BC412" t="str">
            <v>--</v>
          </cell>
          <cell r="BD412" t="str">
            <v>--</v>
          </cell>
          <cell r="BE412" t="str">
            <v>--</v>
          </cell>
          <cell r="BF412" t="str">
            <v>--</v>
          </cell>
          <cell r="BG412" t="str">
            <v>--</v>
          </cell>
          <cell r="BH412" t="str">
            <v>--</v>
          </cell>
          <cell r="BI412" t="str">
            <v>--</v>
          </cell>
          <cell r="BJ412" t="str">
            <v>--</v>
          </cell>
          <cell r="BK412" t="str">
            <v>--</v>
          </cell>
          <cell r="BL412" t="str">
            <v>--</v>
          </cell>
          <cell r="BM412" t="str">
            <v>--</v>
          </cell>
          <cell r="BN412" t="str">
            <v>--</v>
          </cell>
          <cell r="BO412" t="str">
            <v>--</v>
          </cell>
          <cell r="BP412" t="str">
            <v>--</v>
          </cell>
          <cell r="BQ412" t="str">
            <v>--</v>
          </cell>
          <cell r="BR412" t="str">
            <v>--</v>
          </cell>
          <cell r="BS412" t="str">
            <v>--</v>
          </cell>
          <cell r="BT412" t="str">
            <v>--</v>
          </cell>
          <cell r="BU412" t="str">
            <v>--</v>
          </cell>
          <cell r="BV412" t="str">
            <v>--</v>
          </cell>
          <cell r="BW412" t="str">
            <v>--</v>
          </cell>
          <cell r="BX412" t="str">
            <v>--</v>
          </cell>
          <cell r="BY412" t="str">
            <v>--</v>
          </cell>
          <cell r="BZ412" t="str">
            <v>--</v>
          </cell>
          <cell r="CA412" t="str">
            <v>--</v>
          </cell>
          <cell r="CB412" t="str">
            <v>--</v>
          </cell>
          <cell r="CC412" t="str">
            <v>--</v>
          </cell>
          <cell r="CD412" t="str">
            <v>--</v>
          </cell>
          <cell r="CE412" t="str">
            <v>--</v>
          </cell>
          <cell r="CF412" t="str">
            <v>--</v>
          </cell>
          <cell r="CG412" t="str">
            <v>--</v>
          </cell>
          <cell r="CH412" t="str">
            <v>--</v>
          </cell>
          <cell r="CI412" t="str">
            <v>--</v>
          </cell>
          <cell r="CJ412" t="str">
            <v>--</v>
          </cell>
          <cell r="CK412" t="str">
            <v>--</v>
          </cell>
          <cell r="CL412" t="str">
            <v>--</v>
          </cell>
          <cell r="CM412" t="str">
            <v>--</v>
          </cell>
          <cell r="CN412" t="str">
            <v>--</v>
          </cell>
          <cell r="CO412" t="str">
            <v>--</v>
          </cell>
          <cell r="CP412" t="str">
            <v>--</v>
          </cell>
          <cell r="CQ412" t="str">
            <v>--</v>
          </cell>
          <cell r="CR412" t="str">
            <v>--</v>
          </cell>
          <cell r="CS412" t="str">
            <v>--</v>
          </cell>
          <cell r="CT412" t="str">
            <v>--</v>
          </cell>
          <cell r="CU412" t="str">
            <v>--</v>
          </cell>
          <cell r="CV412" t="str">
            <v>--</v>
          </cell>
          <cell r="CW412" t="str">
            <v>--</v>
          </cell>
          <cell r="CX412" t="str">
            <v>--</v>
          </cell>
          <cell r="CY412" t="str">
            <v>--</v>
          </cell>
          <cell r="CZ412" t="str">
            <v>--</v>
          </cell>
          <cell r="DA412" t="str">
            <v>--</v>
          </cell>
          <cell r="DB412" t="str">
            <v>--</v>
          </cell>
          <cell r="DC412" t="str">
            <v>--</v>
          </cell>
          <cell r="DD412" t="str">
            <v>--</v>
          </cell>
          <cell r="DE412" t="str">
            <v>--</v>
          </cell>
          <cell r="DF412" t="str">
            <v>--</v>
          </cell>
          <cell r="DG412" t="str">
            <v>--</v>
          </cell>
          <cell r="DH412" t="str">
            <v>--</v>
          </cell>
          <cell r="DI412" t="str">
            <v>--</v>
          </cell>
          <cell r="DJ412" t="str">
            <v>--</v>
          </cell>
          <cell r="DK412" t="str">
            <v>--</v>
          </cell>
          <cell r="DL412" t="str">
            <v>--</v>
          </cell>
          <cell r="DM412" t="str">
            <v>--</v>
          </cell>
          <cell r="DN412" t="str">
            <v>--</v>
          </cell>
          <cell r="DO412" t="str">
            <v>--</v>
          </cell>
          <cell r="DP412" t="str">
            <v>--</v>
          </cell>
          <cell r="DQ412" t="str">
            <v>--</v>
          </cell>
          <cell r="DR412" t="str">
            <v>--</v>
          </cell>
          <cell r="DS412" t="str">
            <v>--</v>
          </cell>
          <cell r="DT412" t="str">
            <v>--</v>
          </cell>
          <cell r="DU412" t="str">
            <v>--</v>
          </cell>
          <cell r="DV412" t="str">
            <v>--</v>
          </cell>
          <cell r="DW412" t="str">
            <v>--</v>
          </cell>
          <cell r="DX412" t="str">
            <v>--</v>
          </cell>
          <cell r="DY412" t="str">
            <v>--</v>
          </cell>
          <cell r="DZ412" t="str">
            <v>--</v>
          </cell>
          <cell r="EA412" t="str">
            <v>--</v>
          </cell>
          <cell r="EB412" t="str">
            <v>--</v>
          </cell>
          <cell r="EC412" t="str">
            <v>--</v>
          </cell>
          <cell r="ED412" t="str">
            <v>--</v>
          </cell>
          <cell r="EE412" t="str">
            <v>--</v>
          </cell>
          <cell r="EF412" t="str">
            <v>--</v>
          </cell>
          <cell r="EG412" t="str">
            <v>--</v>
          </cell>
        </row>
        <row r="413">
          <cell r="A413" t="str">
            <v>06150020White</v>
          </cell>
          <cell r="B413" t="str">
            <v>06150020C</v>
          </cell>
          <cell r="C413" t="str">
            <v>0615</v>
          </cell>
          <cell r="D413" t="str">
            <v>06150020</v>
          </cell>
          <cell r="E413" t="str">
            <v>Athol-Royalston</v>
          </cell>
          <cell r="F413" t="str">
            <v>Riverbend-Sanders Street School</v>
          </cell>
          <cell r="G413" t="str">
            <v>ES</v>
          </cell>
          <cell r="H413" t="str">
            <v>Athol-Royalston - Riverbend-Sanders Street School (06150020)</v>
          </cell>
          <cell r="I413" t="str">
            <v>White</v>
          </cell>
          <cell r="J413" t="str">
            <v>06150020White</v>
          </cell>
          <cell r="K413" t="str">
            <v>--</v>
          </cell>
          <cell r="L413">
            <v>64.099999999999994</v>
          </cell>
          <cell r="M413">
            <v>67.099999999999994</v>
          </cell>
          <cell r="N413">
            <v>63.8</v>
          </cell>
          <cell r="O413">
            <v>70.099999999999994</v>
          </cell>
          <cell r="P413">
            <v>65.2</v>
          </cell>
          <cell r="Q413">
            <v>73.099999999999994</v>
          </cell>
          <cell r="R413">
            <v>76.099999999999994</v>
          </cell>
          <cell r="S413">
            <v>79.099999999999994</v>
          </cell>
          <cell r="T413">
            <v>82.1</v>
          </cell>
          <cell r="U413">
            <v>61.1</v>
          </cell>
          <cell r="V413">
            <v>64.3</v>
          </cell>
          <cell r="W413">
            <v>50.6</v>
          </cell>
          <cell r="X413">
            <v>67.599999999999994</v>
          </cell>
          <cell r="Y413">
            <v>57.2</v>
          </cell>
          <cell r="Z413">
            <v>70.8</v>
          </cell>
          <cell r="AA413">
            <v>74.099999999999994</v>
          </cell>
          <cell r="AB413">
            <v>77.3</v>
          </cell>
          <cell r="AC413">
            <v>80.599999999999994</v>
          </cell>
          <cell r="AD413" t="str">
            <v>--</v>
          </cell>
          <cell r="AE413" t="str">
            <v>--</v>
          </cell>
          <cell r="AF413" t="str">
            <v>--</v>
          </cell>
          <cell r="AG413" t="str">
            <v>--</v>
          </cell>
          <cell r="AH413" t="str">
            <v>--</v>
          </cell>
          <cell r="AI413" t="str">
            <v>--</v>
          </cell>
          <cell r="AJ413" t="str">
            <v>--</v>
          </cell>
          <cell r="AK413" t="str">
            <v>--</v>
          </cell>
          <cell r="AL413" t="str">
            <v>--</v>
          </cell>
          <cell r="AM413" t="str">
            <v>--</v>
          </cell>
          <cell r="AN413" t="str">
            <v>--</v>
          </cell>
          <cell r="AO413" t="str">
            <v>--</v>
          </cell>
          <cell r="AP413" t="str">
            <v>--</v>
          </cell>
          <cell r="AQ413" t="str">
            <v>--</v>
          </cell>
          <cell r="AR413" t="str">
            <v>--</v>
          </cell>
          <cell r="AS413" t="str">
            <v>--</v>
          </cell>
          <cell r="AT413" t="str">
            <v>--</v>
          </cell>
          <cell r="AU413" t="str">
            <v>--</v>
          </cell>
          <cell r="AV413" t="str">
            <v>--</v>
          </cell>
          <cell r="AW413" t="str">
            <v>--</v>
          </cell>
          <cell r="AX413" t="str">
            <v>--</v>
          </cell>
          <cell r="AY413" t="str">
            <v>--</v>
          </cell>
          <cell r="AZ413" t="str">
            <v>--</v>
          </cell>
          <cell r="BA413" t="str">
            <v>--</v>
          </cell>
          <cell r="BB413" t="str">
            <v>--</v>
          </cell>
          <cell r="BC413" t="str">
            <v>--</v>
          </cell>
          <cell r="BD413" t="str">
            <v>--</v>
          </cell>
          <cell r="BE413" t="str">
            <v>--</v>
          </cell>
          <cell r="BF413" t="str">
            <v>--</v>
          </cell>
          <cell r="BG413" t="str">
            <v>--</v>
          </cell>
          <cell r="BH413" t="str">
            <v>--</v>
          </cell>
          <cell r="BI413" t="str">
            <v>--</v>
          </cell>
          <cell r="BJ413" t="str">
            <v>--</v>
          </cell>
          <cell r="BK413" t="str">
            <v>--</v>
          </cell>
          <cell r="BL413" t="str">
            <v>--</v>
          </cell>
          <cell r="BM413" t="str">
            <v>--</v>
          </cell>
          <cell r="BN413">
            <v>40</v>
          </cell>
          <cell r="BO413">
            <v>50</v>
          </cell>
          <cell r="BP413">
            <v>24</v>
          </cell>
          <cell r="BQ413">
            <v>34</v>
          </cell>
          <cell r="BR413">
            <v>16</v>
          </cell>
          <cell r="BS413">
            <v>26</v>
          </cell>
          <cell r="BT413">
            <v>36</v>
          </cell>
          <cell r="BU413">
            <v>46</v>
          </cell>
          <cell r="BV413">
            <v>51</v>
          </cell>
          <cell r="BW413">
            <v>46</v>
          </cell>
          <cell r="BX413">
            <v>51</v>
          </cell>
          <cell r="BY413">
            <v>13</v>
          </cell>
          <cell r="BZ413">
            <v>23</v>
          </cell>
          <cell r="CA413">
            <v>27</v>
          </cell>
          <cell r="CB413">
            <v>37</v>
          </cell>
          <cell r="CC413">
            <v>47</v>
          </cell>
          <cell r="CD413">
            <v>51</v>
          </cell>
          <cell r="CE413">
            <v>51</v>
          </cell>
          <cell r="CF413">
            <v>20.3</v>
          </cell>
          <cell r="CG413">
            <v>18.3</v>
          </cell>
          <cell r="CH413">
            <v>25.9</v>
          </cell>
          <cell r="CI413">
            <v>23.3</v>
          </cell>
          <cell r="CJ413">
            <v>18.399999999999999</v>
          </cell>
          <cell r="CK413">
            <v>16.600000000000001</v>
          </cell>
          <cell r="CL413">
            <v>14.9</v>
          </cell>
          <cell r="CM413">
            <v>13.4</v>
          </cell>
          <cell r="CN413">
            <v>12.1</v>
          </cell>
          <cell r="CO413">
            <v>27</v>
          </cell>
          <cell r="CP413">
            <v>24.3</v>
          </cell>
          <cell r="CQ413">
            <v>41.2</v>
          </cell>
          <cell r="CR413">
            <v>37.1</v>
          </cell>
          <cell r="CS413">
            <v>31</v>
          </cell>
          <cell r="CT413">
            <v>27.9</v>
          </cell>
          <cell r="CU413">
            <v>25.1</v>
          </cell>
          <cell r="CV413">
            <v>22.6</v>
          </cell>
          <cell r="CW413">
            <v>20.3</v>
          </cell>
          <cell r="CX413" t="str">
            <v>--</v>
          </cell>
          <cell r="CY413" t="str">
            <v>--</v>
          </cell>
          <cell r="CZ413" t="str">
            <v>--</v>
          </cell>
          <cell r="DA413" t="str">
            <v>--</v>
          </cell>
          <cell r="DB413" t="str">
            <v>--</v>
          </cell>
          <cell r="DC413" t="str">
            <v>--</v>
          </cell>
          <cell r="DD413" t="str">
            <v>--</v>
          </cell>
          <cell r="DE413" t="str">
            <v>--</v>
          </cell>
          <cell r="DF413" t="str">
            <v>--</v>
          </cell>
          <cell r="DG413">
            <v>1.6</v>
          </cell>
          <cell r="DH413">
            <v>1.8</v>
          </cell>
          <cell r="DI413">
            <v>4.7</v>
          </cell>
          <cell r="DJ413">
            <v>5.2</v>
          </cell>
          <cell r="DK413">
            <v>1.1000000000000001</v>
          </cell>
          <cell r="DL413">
            <v>1.2</v>
          </cell>
          <cell r="DM413">
            <v>1.3</v>
          </cell>
          <cell r="DN413">
            <v>1.5</v>
          </cell>
          <cell r="DO413">
            <v>1.6</v>
          </cell>
          <cell r="DP413">
            <v>0</v>
          </cell>
          <cell r="DQ413">
            <v>1</v>
          </cell>
          <cell r="DR413">
            <v>2.4</v>
          </cell>
          <cell r="DS413">
            <v>2.6</v>
          </cell>
          <cell r="DT413">
            <v>1.1000000000000001</v>
          </cell>
          <cell r="DU413">
            <v>1.2</v>
          </cell>
          <cell r="DV413">
            <v>1.3</v>
          </cell>
          <cell r="DW413">
            <v>1.5</v>
          </cell>
          <cell r="DX413">
            <v>1.6</v>
          </cell>
          <cell r="DY413" t="str">
            <v>--</v>
          </cell>
          <cell r="DZ413" t="str">
            <v>--</v>
          </cell>
          <cell r="EA413" t="str">
            <v>--</v>
          </cell>
          <cell r="EB413" t="str">
            <v>--</v>
          </cell>
          <cell r="EC413" t="str">
            <v>--</v>
          </cell>
          <cell r="ED413" t="str">
            <v>--</v>
          </cell>
          <cell r="EE413" t="str">
            <v>--</v>
          </cell>
          <cell r="EF413" t="str">
            <v>--</v>
          </cell>
          <cell r="EG413" t="str">
            <v>--</v>
          </cell>
        </row>
        <row r="414">
          <cell r="A414" t="str">
            <v>06150020Students w/disabilities</v>
          </cell>
          <cell r="B414" t="str">
            <v>06150020D</v>
          </cell>
          <cell r="C414" t="str">
            <v>0615</v>
          </cell>
          <cell r="D414" t="str">
            <v>06150020</v>
          </cell>
          <cell r="E414" t="str">
            <v>Athol-Royalston</v>
          </cell>
          <cell r="F414" t="str">
            <v>Riverbend-Sanders Street School</v>
          </cell>
          <cell r="G414" t="str">
            <v>ES</v>
          </cell>
          <cell r="H414" t="str">
            <v>Athol-Royalston - Riverbend-Sanders Street School (06150020)</v>
          </cell>
          <cell r="I414" t="str">
            <v>Students w/disabilities</v>
          </cell>
          <cell r="J414" t="str">
            <v>06150020Students w/disabilities</v>
          </cell>
          <cell r="K414" t="str">
            <v>--</v>
          </cell>
          <cell r="L414">
            <v>45.7</v>
          </cell>
          <cell r="M414">
            <v>50.2</v>
          </cell>
          <cell r="N414">
            <v>40.1</v>
          </cell>
          <cell r="O414">
            <v>54.8</v>
          </cell>
          <cell r="P414">
            <v>50.7</v>
          </cell>
          <cell r="Q414">
            <v>59.3</v>
          </cell>
          <cell r="R414">
            <v>63.8</v>
          </cell>
          <cell r="S414">
            <v>68.3</v>
          </cell>
          <cell r="T414">
            <v>72.900000000000006</v>
          </cell>
          <cell r="U414">
            <v>48.3</v>
          </cell>
          <cell r="V414">
            <v>52.6</v>
          </cell>
          <cell r="W414">
            <v>34.9</v>
          </cell>
          <cell r="X414">
            <v>56.9</v>
          </cell>
          <cell r="Y414">
            <v>41.9</v>
          </cell>
          <cell r="Z414">
            <v>61.2</v>
          </cell>
          <cell r="AA414">
            <v>65.5</v>
          </cell>
          <cell r="AB414">
            <v>69.8</v>
          </cell>
          <cell r="AC414">
            <v>74.2</v>
          </cell>
          <cell r="AD414" t="str">
            <v>--</v>
          </cell>
          <cell r="AE414" t="str">
            <v>--</v>
          </cell>
          <cell r="AF414" t="str">
            <v>--</v>
          </cell>
          <cell r="AG414" t="str">
            <v>--</v>
          </cell>
          <cell r="AH414" t="str">
            <v>--</v>
          </cell>
          <cell r="AI414" t="str">
            <v>--</v>
          </cell>
          <cell r="AJ414" t="str">
            <v>--</v>
          </cell>
          <cell r="AK414" t="str">
            <v>--</v>
          </cell>
          <cell r="AL414" t="str">
            <v>--</v>
          </cell>
          <cell r="AM414" t="str">
            <v>--</v>
          </cell>
          <cell r="AN414" t="str">
            <v>--</v>
          </cell>
          <cell r="AO414" t="str">
            <v>--</v>
          </cell>
          <cell r="AP414" t="str">
            <v>--</v>
          </cell>
          <cell r="AQ414" t="str">
            <v>--</v>
          </cell>
          <cell r="AR414" t="str">
            <v>--</v>
          </cell>
          <cell r="AS414" t="str">
            <v>--</v>
          </cell>
          <cell r="AT414" t="str">
            <v>--</v>
          </cell>
          <cell r="AU414" t="str">
            <v>--</v>
          </cell>
          <cell r="AV414" t="str">
            <v>--</v>
          </cell>
          <cell r="AW414" t="str">
            <v>--</v>
          </cell>
          <cell r="AX414" t="str">
            <v>--</v>
          </cell>
          <cell r="AY414" t="str">
            <v>--</v>
          </cell>
          <cell r="AZ414" t="str">
            <v>--</v>
          </cell>
          <cell r="BA414" t="str">
            <v>--</v>
          </cell>
          <cell r="BB414" t="str">
            <v>--</v>
          </cell>
          <cell r="BC414" t="str">
            <v>--</v>
          </cell>
          <cell r="BD414" t="str">
            <v>--</v>
          </cell>
          <cell r="BE414" t="str">
            <v>--</v>
          </cell>
          <cell r="BF414" t="str">
            <v>--</v>
          </cell>
          <cell r="BG414" t="str">
            <v>--</v>
          </cell>
          <cell r="BH414" t="str">
            <v>--</v>
          </cell>
          <cell r="BI414" t="str">
            <v>--</v>
          </cell>
          <cell r="BJ414" t="str">
            <v>--</v>
          </cell>
          <cell r="BK414" t="str">
            <v>--</v>
          </cell>
          <cell r="BL414" t="str">
            <v>--</v>
          </cell>
          <cell r="BM414" t="str">
            <v>--</v>
          </cell>
          <cell r="BN414" t="str">
            <v>--</v>
          </cell>
          <cell r="BO414" t="str">
            <v>--</v>
          </cell>
          <cell r="BP414" t="str">
            <v>--</v>
          </cell>
          <cell r="BQ414" t="str">
            <v>--</v>
          </cell>
          <cell r="BR414" t="str">
            <v>--</v>
          </cell>
          <cell r="BS414" t="str">
            <v>--</v>
          </cell>
          <cell r="BT414" t="str">
            <v>--</v>
          </cell>
          <cell r="BU414" t="str">
            <v>--</v>
          </cell>
          <cell r="BV414" t="str">
            <v>--</v>
          </cell>
          <cell r="BW414" t="str">
            <v>--</v>
          </cell>
          <cell r="BX414" t="str">
            <v>--</v>
          </cell>
          <cell r="BY414" t="str">
            <v>--</v>
          </cell>
          <cell r="BZ414" t="str">
            <v>--</v>
          </cell>
          <cell r="CA414" t="str">
            <v>--</v>
          </cell>
          <cell r="CB414" t="str">
            <v>--</v>
          </cell>
          <cell r="CC414" t="str">
            <v>--</v>
          </cell>
          <cell r="CD414" t="str">
            <v>--</v>
          </cell>
          <cell r="CE414" t="str">
            <v>--</v>
          </cell>
          <cell r="CF414">
            <v>48.3</v>
          </cell>
          <cell r="CG414">
            <v>43.5</v>
          </cell>
          <cell r="CH414">
            <v>58.1</v>
          </cell>
          <cell r="CI414">
            <v>52.3</v>
          </cell>
          <cell r="CJ414">
            <v>38.200000000000003</v>
          </cell>
          <cell r="CK414">
            <v>34.4</v>
          </cell>
          <cell r="CL414">
            <v>30.9</v>
          </cell>
          <cell r="CM414">
            <v>27.8</v>
          </cell>
          <cell r="CN414">
            <v>25.1</v>
          </cell>
          <cell r="CO414">
            <v>41.4</v>
          </cell>
          <cell r="CP414">
            <v>37.299999999999997</v>
          </cell>
          <cell r="CQ414">
            <v>67.400000000000006</v>
          </cell>
          <cell r="CR414">
            <v>60.7</v>
          </cell>
          <cell r="CS414">
            <v>55.9</v>
          </cell>
          <cell r="CT414">
            <v>50.3</v>
          </cell>
          <cell r="CU414">
            <v>45.3</v>
          </cell>
          <cell r="CV414">
            <v>40.799999999999997</v>
          </cell>
          <cell r="CW414">
            <v>36.700000000000003</v>
          </cell>
          <cell r="CX414" t="str">
            <v>--</v>
          </cell>
          <cell r="CY414" t="str">
            <v>--</v>
          </cell>
          <cell r="CZ414" t="str">
            <v>--</v>
          </cell>
          <cell r="DA414" t="str">
            <v>--</v>
          </cell>
          <cell r="DB414" t="str">
            <v>--</v>
          </cell>
          <cell r="DC414" t="str">
            <v>--</v>
          </cell>
          <cell r="DD414" t="str">
            <v>--</v>
          </cell>
          <cell r="DE414" t="str">
            <v>--</v>
          </cell>
          <cell r="DF414" t="str">
            <v>--</v>
          </cell>
          <cell r="DG414">
            <v>0</v>
          </cell>
          <cell r="DH414">
            <v>1</v>
          </cell>
          <cell r="DI414">
            <v>0</v>
          </cell>
          <cell r="DJ414">
            <v>1</v>
          </cell>
          <cell r="DK414">
            <v>0</v>
          </cell>
          <cell r="DL414">
            <v>1</v>
          </cell>
          <cell r="DM414">
            <v>1.1000000000000001</v>
          </cell>
          <cell r="DN414">
            <v>1.2</v>
          </cell>
          <cell r="DO414">
            <v>1.3</v>
          </cell>
          <cell r="DP414">
            <v>0</v>
          </cell>
          <cell r="DQ414">
            <v>1</v>
          </cell>
          <cell r="DR414">
            <v>0</v>
          </cell>
          <cell r="DS414">
            <v>1</v>
          </cell>
          <cell r="DT414">
            <v>0</v>
          </cell>
          <cell r="DU414">
            <v>1</v>
          </cell>
          <cell r="DV414">
            <v>1.1000000000000001</v>
          </cell>
          <cell r="DW414">
            <v>1.2</v>
          </cell>
          <cell r="DX414">
            <v>1.3</v>
          </cell>
          <cell r="DY414" t="str">
            <v>--</v>
          </cell>
          <cell r="DZ414" t="str">
            <v>--</v>
          </cell>
          <cell r="EA414" t="str">
            <v>--</v>
          </cell>
          <cell r="EB414" t="str">
            <v>--</v>
          </cell>
          <cell r="EC414" t="str">
            <v>--</v>
          </cell>
          <cell r="ED414" t="str">
            <v>--</v>
          </cell>
          <cell r="EE414" t="str">
            <v>--</v>
          </cell>
          <cell r="EF414" t="str">
            <v>--</v>
          </cell>
          <cell r="EG414" t="str">
            <v>--</v>
          </cell>
        </row>
        <row r="415">
          <cell r="A415" t="str">
            <v>06150020Low income</v>
          </cell>
          <cell r="B415" t="str">
            <v>06150020F</v>
          </cell>
          <cell r="C415" t="str">
            <v>0615</v>
          </cell>
          <cell r="D415" t="str">
            <v>06150020</v>
          </cell>
          <cell r="E415" t="str">
            <v>Athol-Royalston</v>
          </cell>
          <cell r="F415" t="str">
            <v>Riverbend-Sanders Street School</v>
          </cell>
          <cell r="G415" t="str">
            <v>ES</v>
          </cell>
          <cell r="H415" t="str">
            <v>Athol-Royalston - Riverbend-Sanders Street School (06150020)</v>
          </cell>
          <cell r="I415" t="str">
            <v>Low income</v>
          </cell>
          <cell r="J415" t="str">
            <v>06150020Low income</v>
          </cell>
          <cell r="K415" t="str">
            <v>--</v>
          </cell>
          <cell r="L415">
            <v>55.1</v>
          </cell>
          <cell r="M415">
            <v>58.8</v>
          </cell>
          <cell r="N415">
            <v>55.2</v>
          </cell>
          <cell r="O415">
            <v>62.6</v>
          </cell>
          <cell r="P415">
            <v>61.3</v>
          </cell>
          <cell r="Q415">
            <v>66.3</v>
          </cell>
          <cell r="R415">
            <v>70.099999999999994</v>
          </cell>
          <cell r="S415">
            <v>73.8</v>
          </cell>
          <cell r="T415">
            <v>77.599999999999994</v>
          </cell>
          <cell r="U415">
            <v>55.2</v>
          </cell>
          <cell r="V415">
            <v>58.9</v>
          </cell>
          <cell r="W415">
            <v>44.8</v>
          </cell>
          <cell r="X415">
            <v>62.7</v>
          </cell>
          <cell r="Y415">
            <v>54.7</v>
          </cell>
          <cell r="Z415">
            <v>66.400000000000006</v>
          </cell>
          <cell r="AA415">
            <v>70.099999999999994</v>
          </cell>
          <cell r="AB415">
            <v>73.900000000000006</v>
          </cell>
          <cell r="AC415">
            <v>77.599999999999994</v>
          </cell>
          <cell r="AD415" t="str">
            <v>--</v>
          </cell>
          <cell r="AE415" t="str">
            <v>--</v>
          </cell>
          <cell r="AF415" t="str">
            <v>--</v>
          </cell>
          <cell r="AG415" t="str">
            <v>--</v>
          </cell>
          <cell r="AH415" t="str">
            <v>--</v>
          </cell>
          <cell r="AI415" t="str">
            <v>--</v>
          </cell>
          <cell r="AJ415" t="str">
            <v>--</v>
          </cell>
          <cell r="AK415" t="str">
            <v>--</v>
          </cell>
          <cell r="AL415" t="str">
            <v>--</v>
          </cell>
          <cell r="AM415" t="str">
            <v>--</v>
          </cell>
          <cell r="AN415" t="str">
            <v>--</v>
          </cell>
          <cell r="AO415" t="str">
            <v>--</v>
          </cell>
          <cell r="AP415" t="str">
            <v>--</v>
          </cell>
          <cell r="AQ415" t="str">
            <v>--</v>
          </cell>
          <cell r="AR415" t="str">
            <v>--</v>
          </cell>
          <cell r="AS415" t="str">
            <v>--</v>
          </cell>
          <cell r="AT415" t="str">
            <v>--</v>
          </cell>
          <cell r="AU415" t="str">
            <v>--</v>
          </cell>
          <cell r="AV415" t="str">
            <v>--</v>
          </cell>
          <cell r="AW415" t="str">
            <v>--</v>
          </cell>
          <cell r="AX415" t="str">
            <v>--</v>
          </cell>
          <cell r="AY415" t="str">
            <v>--</v>
          </cell>
          <cell r="AZ415" t="str">
            <v>--</v>
          </cell>
          <cell r="BA415" t="str">
            <v>--</v>
          </cell>
          <cell r="BB415" t="str">
            <v>--</v>
          </cell>
          <cell r="BC415" t="str">
            <v>--</v>
          </cell>
          <cell r="BD415" t="str">
            <v>--</v>
          </cell>
          <cell r="BE415" t="str">
            <v>--</v>
          </cell>
          <cell r="BF415" t="str">
            <v>--</v>
          </cell>
          <cell r="BG415" t="str">
            <v>--</v>
          </cell>
          <cell r="BH415" t="str">
            <v>--</v>
          </cell>
          <cell r="BI415" t="str">
            <v>--</v>
          </cell>
          <cell r="BJ415" t="str">
            <v>--</v>
          </cell>
          <cell r="BK415" t="str">
            <v>--</v>
          </cell>
          <cell r="BL415" t="str">
            <v>--</v>
          </cell>
          <cell r="BM415" t="str">
            <v>--</v>
          </cell>
          <cell r="BN415">
            <v>37.5</v>
          </cell>
          <cell r="BO415">
            <v>47.5</v>
          </cell>
          <cell r="BP415">
            <v>21</v>
          </cell>
          <cell r="BQ415">
            <v>31</v>
          </cell>
          <cell r="BR415">
            <v>21.5</v>
          </cell>
          <cell r="BS415">
            <v>31.5</v>
          </cell>
          <cell r="BT415">
            <v>41.5</v>
          </cell>
          <cell r="BU415">
            <v>51</v>
          </cell>
          <cell r="BV415">
            <v>51</v>
          </cell>
          <cell r="BW415">
            <v>44</v>
          </cell>
          <cell r="BX415">
            <v>51</v>
          </cell>
          <cell r="BY415">
            <v>25</v>
          </cell>
          <cell r="BZ415">
            <v>35</v>
          </cell>
          <cell r="CA415">
            <v>26</v>
          </cell>
          <cell r="CB415">
            <v>36</v>
          </cell>
          <cell r="CC415">
            <v>46</v>
          </cell>
          <cell r="CD415">
            <v>51</v>
          </cell>
          <cell r="CE415">
            <v>51</v>
          </cell>
          <cell r="CF415">
            <v>26.5</v>
          </cell>
          <cell r="CG415">
            <v>23.9</v>
          </cell>
          <cell r="CH415">
            <v>37.5</v>
          </cell>
          <cell r="CI415">
            <v>33.799999999999997</v>
          </cell>
          <cell r="CJ415">
            <v>23.8</v>
          </cell>
          <cell r="CK415">
            <v>21.4</v>
          </cell>
          <cell r="CL415">
            <v>19.3</v>
          </cell>
          <cell r="CM415">
            <v>17.399999999999999</v>
          </cell>
          <cell r="CN415">
            <v>15.6</v>
          </cell>
          <cell r="CO415">
            <v>35.4</v>
          </cell>
          <cell r="CP415">
            <v>31.9</v>
          </cell>
          <cell r="CQ415">
            <v>51.4</v>
          </cell>
          <cell r="CR415">
            <v>46.3</v>
          </cell>
          <cell r="CS415">
            <v>33.799999999999997</v>
          </cell>
          <cell r="CT415">
            <v>30.4</v>
          </cell>
          <cell r="CU415">
            <v>27.4</v>
          </cell>
          <cell r="CV415">
            <v>24.6</v>
          </cell>
          <cell r="CW415">
            <v>22.2</v>
          </cell>
          <cell r="CX415" t="str">
            <v>--</v>
          </cell>
          <cell r="CY415" t="str">
            <v>--</v>
          </cell>
          <cell r="CZ415" t="str">
            <v>--</v>
          </cell>
          <cell r="DA415" t="str">
            <v>--</v>
          </cell>
          <cell r="DB415" t="str">
            <v>--</v>
          </cell>
          <cell r="DC415" t="str">
            <v>--</v>
          </cell>
          <cell r="DD415" t="str">
            <v>--</v>
          </cell>
          <cell r="DE415" t="str">
            <v>--</v>
          </cell>
          <cell r="DF415" t="str">
            <v>--</v>
          </cell>
          <cell r="DG415">
            <v>0</v>
          </cell>
          <cell r="DH415">
            <v>1</v>
          </cell>
          <cell r="DI415">
            <v>4.2</v>
          </cell>
          <cell r="DJ415">
            <v>4.5999999999999996</v>
          </cell>
          <cell r="DK415">
            <v>0</v>
          </cell>
          <cell r="DL415">
            <v>1</v>
          </cell>
          <cell r="DM415">
            <v>1.1000000000000001</v>
          </cell>
          <cell r="DN415">
            <v>1.2</v>
          </cell>
          <cell r="DO415">
            <v>1.3</v>
          </cell>
          <cell r="DP415">
            <v>0</v>
          </cell>
          <cell r="DQ415">
            <v>1</v>
          </cell>
          <cell r="DR415">
            <v>0</v>
          </cell>
          <cell r="DS415">
            <v>1</v>
          </cell>
          <cell r="DT415">
            <v>1.3</v>
          </cell>
          <cell r="DU415">
            <v>1.4</v>
          </cell>
          <cell r="DV415">
            <v>1.6</v>
          </cell>
          <cell r="DW415">
            <v>1.7</v>
          </cell>
          <cell r="DX415">
            <v>1.9</v>
          </cell>
          <cell r="DY415" t="str">
            <v>--</v>
          </cell>
          <cell r="DZ415" t="str">
            <v>--</v>
          </cell>
          <cell r="EA415" t="str">
            <v>--</v>
          </cell>
          <cell r="EB415" t="str">
            <v>--</v>
          </cell>
          <cell r="EC415" t="str">
            <v>--</v>
          </cell>
          <cell r="ED415" t="str">
            <v>--</v>
          </cell>
          <cell r="EE415" t="str">
            <v>--</v>
          </cell>
          <cell r="EF415" t="str">
            <v>--</v>
          </cell>
          <cell r="EG415" t="str">
            <v>--</v>
          </cell>
        </row>
        <row r="416">
          <cell r="A416" t="str">
            <v>06150020Hispanic/Latino</v>
          </cell>
          <cell r="B416" t="str">
            <v>06150020H</v>
          </cell>
          <cell r="C416" t="str">
            <v>0615</v>
          </cell>
          <cell r="D416" t="str">
            <v>06150020</v>
          </cell>
          <cell r="E416" t="str">
            <v>Athol-Royalston</v>
          </cell>
          <cell r="F416" t="str">
            <v>Riverbend-Sanders Street School</v>
          </cell>
          <cell r="G416" t="str">
            <v>ES</v>
          </cell>
          <cell r="H416" t="str">
            <v>Athol-Royalston - Riverbend-Sanders Street School (06150020)</v>
          </cell>
          <cell r="I416" t="str">
            <v>Hispanic/Latino</v>
          </cell>
          <cell r="J416" t="str">
            <v>06150020Hispanic/Latino</v>
          </cell>
          <cell r="K416" t="str">
            <v>--</v>
          </cell>
          <cell r="L416" t="str">
            <v>--</v>
          </cell>
          <cell r="M416" t="str">
            <v>--</v>
          </cell>
          <cell r="N416" t="str">
            <v>--</v>
          </cell>
          <cell r="O416" t="str">
            <v>--</v>
          </cell>
          <cell r="P416" t="str">
            <v>--</v>
          </cell>
          <cell r="Q416" t="str">
            <v>--</v>
          </cell>
          <cell r="R416" t="str">
            <v>--</v>
          </cell>
          <cell r="S416" t="str">
            <v>--</v>
          </cell>
          <cell r="T416" t="str">
            <v>--</v>
          </cell>
          <cell r="U416" t="str">
            <v>--</v>
          </cell>
          <cell r="V416" t="str">
            <v>--</v>
          </cell>
          <cell r="W416" t="str">
            <v>--</v>
          </cell>
          <cell r="X416" t="str">
            <v>--</v>
          </cell>
          <cell r="Y416" t="str">
            <v>--</v>
          </cell>
          <cell r="Z416" t="str">
            <v>--</v>
          </cell>
          <cell r="AA416" t="str">
            <v>--</v>
          </cell>
          <cell r="AB416" t="str">
            <v>--</v>
          </cell>
          <cell r="AC416" t="str">
            <v>--</v>
          </cell>
          <cell r="AD416" t="str">
            <v>--</v>
          </cell>
          <cell r="AE416" t="str">
            <v>--</v>
          </cell>
          <cell r="AF416" t="str">
            <v>--</v>
          </cell>
          <cell r="AG416" t="str">
            <v>--</v>
          </cell>
          <cell r="AH416" t="str">
            <v>--</v>
          </cell>
          <cell r="AI416" t="str">
            <v>--</v>
          </cell>
          <cell r="AJ416" t="str">
            <v>--</v>
          </cell>
          <cell r="AK416" t="str">
            <v>--</v>
          </cell>
          <cell r="AL416" t="str">
            <v>--</v>
          </cell>
          <cell r="AM416" t="str">
            <v>--</v>
          </cell>
          <cell r="AN416" t="str">
            <v>--</v>
          </cell>
          <cell r="AO416" t="str">
            <v>--</v>
          </cell>
          <cell r="AP416" t="str">
            <v>--</v>
          </cell>
          <cell r="AQ416" t="str">
            <v>--</v>
          </cell>
          <cell r="AR416" t="str">
            <v>--</v>
          </cell>
          <cell r="AS416" t="str">
            <v>--</v>
          </cell>
          <cell r="AT416" t="str">
            <v>--</v>
          </cell>
          <cell r="AU416" t="str">
            <v>--</v>
          </cell>
          <cell r="AV416" t="str">
            <v>--</v>
          </cell>
          <cell r="AW416" t="str">
            <v>--</v>
          </cell>
          <cell r="AX416" t="str">
            <v>--</v>
          </cell>
          <cell r="AY416" t="str">
            <v>--</v>
          </cell>
          <cell r="AZ416" t="str">
            <v>--</v>
          </cell>
          <cell r="BA416" t="str">
            <v>--</v>
          </cell>
          <cell r="BB416" t="str">
            <v>--</v>
          </cell>
          <cell r="BC416" t="str">
            <v>--</v>
          </cell>
          <cell r="BD416" t="str">
            <v>--</v>
          </cell>
          <cell r="BE416" t="str">
            <v>--</v>
          </cell>
          <cell r="BF416" t="str">
            <v>--</v>
          </cell>
          <cell r="BG416" t="str">
            <v>--</v>
          </cell>
          <cell r="BH416" t="str">
            <v>--</v>
          </cell>
          <cell r="BI416" t="str">
            <v>--</v>
          </cell>
          <cell r="BJ416" t="str">
            <v>--</v>
          </cell>
          <cell r="BK416" t="str">
            <v>--</v>
          </cell>
          <cell r="BL416" t="str">
            <v>--</v>
          </cell>
          <cell r="BM416" t="str">
            <v>--</v>
          </cell>
          <cell r="BN416" t="str">
            <v>--</v>
          </cell>
          <cell r="BO416" t="str">
            <v>--</v>
          </cell>
          <cell r="BP416" t="str">
            <v>--</v>
          </cell>
          <cell r="BQ416" t="str">
            <v>--</v>
          </cell>
          <cell r="BR416" t="str">
            <v>--</v>
          </cell>
          <cell r="BS416" t="str">
            <v>--</v>
          </cell>
          <cell r="BT416" t="str">
            <v>--</v>
          </cell>
          <cell r="BU416" t="str">
            <v>--</v>
          </cell>
          <cell r="BV416" t="str">
            <v>--</v>
          </cell>
          <cell r="BW416" t="str">
            <v>--</v>
          </cell>
          <cell r="BX416" t="str">
            <v>--</v>
          </cell>
          <cell r="BY416" t="str">
            <v>--</v>
          </cell>
          <cell r="BZ416" t="str">
            <v>--</v>
          </cell>
          <cell r="CA416" t="str">
            <v>--</v>
          </cell>
          <cell r="CB416" t="str">
            <v>--</v>
          </cell>
          <cell r="CC416" t="str">
            <v>--</v>
          </cell>
          <cell r="CD416" t="str">
            <v>--</v>
          </cell>
          <cell r="CE416" t="str">
            <v>--</v>
          </cell>
          <cell r="CF416" t="str">
            <v>--</v>
          </cell>
          <cell r="CG416" t="str">
            <v>--</v>
          </cell>
          <cell r="CH416" t="str">
            <v>--</v>
          </cell>
          <cell r="CI416" t="str">
            <v>--</v>
          </cell>
          <cell r="CJ416" t="str">
            <v>--</v>
          </cell>
          <cell r="CK416" t="str">
            <v>--</v>
          </cell>
          <cell r="CL416" t="str">
            <v>--</v>
          </cell>
          <cell r="CM416" t="str">
            <v>--</v>
          </cell>
          <cell r="CN416" t="str">
            <v>--</v>
          </cell>
          <cell r="CO416" t="str">
            <v>--</v>
          </cell>
          <cell r="CP416" t="str">
            <v>--</v>
          </cell>
          <cell r="CQ416" t="str">
            <v>--</v>
          </cell>
          <cell r="CR416" t="str">
            <v>--</v>
          </cell>
          <cell r="CS416" t="str">
            <v>--</v>
          </cell>
          <cell r="CT416" t="str">
            <v>--</v>
          </cell>
          <cell r="CU416" t="str">
            <v>--</v>
          </cell>
          <cell r="CV416" t="str">
            <v>--</v>
          </cell>
          <cell r="CW416" t="str">
            <v>--</v>
          </cell>
          <cell r="CX416" t="str">
            <v>--</v>
          </cell>
          <cell r="CY416" t="str">
            <v>--</v>
          </cell>
          <cell r="CZ416" t="str">
            <v>--</v>
          </cell>
          <cell r="DA416" t="str">
            <v>--</v>
          </cell>
          <cell r="DB416" t="str">
            <v>--</v>
          </cell>
          <cell r="DC416" t="str">
            <v>--</v>
          </cell>
          <cell r="DD416" t="str">
            <v>--</v>
          </cell>
          <cell r="DE416" t="str">
            <v>--</v>
          </cell>
          <cell r="DF416" t="str">
            <v>--</v>
          </cell>
          <cell r="DG416" t="str">
            <v>--</v>
          </cell>
          <cell r="DH416" t="str">
            <v>--</v>
          </cell>
          <cell r="DI416" t="str">
            <v>--</v>
          </cell>
          <cell r="DJ416" t="str">
            <v>--</v>
          </cell>
          <cell r="DK416" t="str">
            <v>--</v>
          </cell>
          <cell r="DL416" t="str">
            <v>--</v>
          </cell>
          <cell r="DM416" t="str">
            <v>--</v>
          </cell>
          <cell r="DN416" t="str">
            <v>--</v>
          </cell>
          <cell r="DO416" t="str">
            <v>--</v>
          </cell>
          <cell r="DP416" t="str">
            <v>--</v>
          </cell>
          <cell r="DQ416" t="str">
            <v>--</v>
          </cell>
          <cell r="DR416" t="str">
            <v>--</v>
          </cell>
          <cell r="DS416" t="str">
            <v>--</v>
          </cell>
          <cell r="DT416" t="str">
            <v>--</v>
          </cell>
          <cell r="DU416" t="str">
            <v>--</v>
          </cell>
          <cell r="DV416" t="str">
            <v>--</v>
          </cell>
          <cell r="DW416" t="str">
            <v>--</v>
          </cell>
          <cell r="DX416" t="str">
            <v>--</v>
          </cell>
          <cell r="DY416" t="str">
            <v>--</v>
          </cell>
          <cell r="DZ416" t="str">
            <v>--</v>
          </cell>
          <cell r="EA416" t="str">
            <v>--</v>
          </cell>
          <cell r="EB416" t="str">
            <v>--</v>
          </cell>
          <cell r="EC416" t="str">
            <v>--</v>
          </cell>
          <cell r="ED416" t="str">
            <v>--</v>
          </cell>
          <cell r="EE416" t="str">
            <v>--</v>
          </cell>
          <cell r="EF416" t="str">
            <v>--</v>
          </cell>
          <cell r="EG416" t="str">
            <v>--</v>
          </cell>
        </row>
        <row r="417">
          <cell r="A417" t="str">
            <v>06150020ELL and Former ELL</v>
          </cell>
          <cell r="B417" t="str">
            <v>06150020L</v>
          </cell>
          <cell r="C417" t="str">
            <v>0615</v>
          </cell>
          <cell r="D417" t="str">
            <v>06150020</v>
          </cell>
          <cell r="E417" t="str">
            <v>Athol-Royalston</v>
          </cell>
          <cell r="F417" t="str">
            <v>Riverbend-Sanders Street School</v>
          </cell>
          <cell r="G417" t="str">
            <v>ES</v>
          </cell>
          <cell r="H417" t="str">
            <v>Athol-Royalston - Riverbend-Sanders Street School (06150020)</v>
          </cell>
          <cell r="I417" t="str">
            <v>ELL and Former ELL</v>
          </cell>
          <cell r="J417" t="str">
            <v>06150020ELL and Former ELL</v>
          </cell>
          <cell r="K417" t="str">
            <v>--</v>
          </cell>
          <cell r="L417" t="str">
            <v>--</v>
          </cell>
          <cell r="M417" t="str">
            <v>--</v>
          </cell>
          <cell r="N417" t="str">
            <v>--</v>
          </cell>
          <cell r="O417" t="str">
            <v>--</v>
          </cell>
          <cell r="P417" t="str">
            <v>--</v>
          </cell>
          <cell r="Q417" t="str">
            <v>--</v>
          </cell>
          <cell r="R417" t="str">
            <v>--</v>
          </cell>
          <cell r="S417" t="str">
            <v>--</v>
          </cell>
          <cell r="T417" t="str">
            <v>--</v>
          </cell>
          <cell r="U417" t="str">
            <v>--</v>
          </cell>
          <cell r="V417" t="str">
            <v>--</v>
          </cell>
          <cell r="W417" t="str">
            <v>--</v>
          </cell>
          <cell r="X417" t="str">
            <v>--</v>
          </cell>
          <cell r="Y417" t="str">
            <v>--</v>
          </cell>
          <cell r="Z417" t="str">
            <v>--</v>
          </cell>
          <cell r="AA417" t="str">
            <v>--</v>
          </cell>
          <cell r="AB417" t="str">
            <v>--</v>
          </cell>
          <cell r="AC417" t="str">
            <v>--</v>
          </cell>
          <cell r="AD417" t="str">
            <v>--</v>
          </cell>
          <cell r="AE417" t="str">
            <v>--</v>
          </cell>
          <cell r="AF417" t="str">
            <v>--</v>
          </cell>
          <cell r="AG417" t="str">
            <v>--</v>
          </cell>
          <cell r="AH417" t="str">
            <v>--</v>
          </cell>
          <cell r="AI417" t="str">
            <v>--</v>
          </cell>
          <cell r="AJ417" t="str">
            <v>--</v>
          </cell>
          <cell r="AK417" t="str">
            <v>--</v>
          </cell>
          <cell r="AL417" t="str">
            <v>--</v>
          </cell>
          <cell r="AM417" t="str">
            <v>--</v>
          </cell>
          <cell r="AN417" t="str">
            <v>--</v>
          </cell>
          <cell r="AO417" t="str">
            <v>--</v>
          </cell>
          <cell r="AP417" t="str">
            <v>--</v>
          </cell>
          <cell r="AQ417" t="str">
            <v>--</v>
          </cell>
          <cell r="AR417" t="str">
            <v>--</v>
          </cell>
          <cell r="AS417" t="str">
            <v>--</v>
          </cell>
          <cell r="AT417" t="str">
            <v>--</v>
          </cell>
          <cell r="AU417" t="str">
            <v>--</v>
          </cell>
          <cell r="AV417" t="str">
            <v>--</v>
          </cell>
          <cell r="AW417" t="str">
            <v>--</v>
          </cell>
          <cell r="AX417" t="str">
            <v>--</v>
          </cell>
          <cell r="AY417" t="str">
            <v>--</v>
          </cell>
          <cell r="AZ417" t="str">
            <v>--</v>
          </cell>
          <cell r="BA417" t="str">
            <v>--</v>
          </cell>
          <cell r="BB417" t="str">
            <v>--</v>
          </cell>
          <cell r="BC417" t="str">
            <v>--</v>
          </cell>
          <cell r="BD417" t="str">
            <v>--</v>
          </cell>
          <cell r="BE417" t="str">
            <v>--</v>
          </cell>
          <cell r="BF417" t="str">
            <v>--</v>
          </cell>
          <cell r="BG417" t="str">
            <v>--</v>
          </cell>
          <cell r="BH417" t="str">
            <v>--</v>
          </cell>
          <cell r="BI417" t="str">
            <v>--</v>
          </cell>
          <cell r="BJ417" t="str">
            <v>--</v>
          </cell>
          <cell r="BK417" t="str">
            <v>--</v>
          </cell>
          <cell r="BL417" t="str">
            <v>--</v>
          </cell>
          <cell r="BM417" t="str">
            <v>--</v>
          </cell>
          <cell r="BN417" t="str">
            <v>--</v>
          </cell>
          <cell r="BO417" t="str">
            <v>--</v>
          </cell>
          <cell r="BP417" t="str">
            <v>--</v>
          </cell>
          <cell r="BQ417" t="str">
            <v>--</v>
          </cell>
          <cell r="BR417" t="str">
            <v>--</v>
          </cell>
          <cell r="BS417" t="str">
            <v>--</v>
          </cell>
          <cell r="BT417" t="str">
            <v>--</v>
          </cell>
          <cell r="BU417" t="str">
            <v>--</v>
          </cell>
          <cell r="BV417" t="str">
            <v>--</v>
          </cell>
          <cell r="BW417" t="str">
            <v>--</v>
          </cell>
          <cell r="BX417" t="str">
            <v>--</v>
          </cell>
          <cell r="BY417" t="str">
            <v>--</v>
          </cell>
          <cell r="BZ417" t="str">
            <v>--</v>
          </cell>
          <cell r="CA417" t="str">
            <v>--</v>
          </cell>
          <cell r="CB417" t="str">
            <v>--</v>
          </cell>
          <cell r="CC417" t="str">
            <v>--</v>
          </cell>
          <cell r="CD417" t="str">
            <v>--</v>
          </cell>
          <cell r="CE417" t="str">
            <v>--</v>
          </cell>
          <cell r="CF417" t="str">
            <v>--</v>
          </cell>
          <cell r="CG417" t="str">
            <v>--</v>
          </cell>
          <cell r="CH417" t="str">
            <v>--</v>
          </cell>
          <cell r="CI417" t="str">
            <v>--</v>
          </cell>
          <cell r="CJ417" t="str">
            <v>--</v>
          </cell>
          <cell r="CK417" t="str">
            <v>--</v>
          </cell>
          <cell r="CL417" t="str">
            <v>--</v>
          </cell>
          <cell r="CM417" t="str">
            <v>--</v>
          </cell>
          <cell r="CN417" t="str">
            <v>--</v>
          </cell>
          <cell r="CO417" t="str">
            <v>--</v>
          </cell>
          <cell r="CP417" t="str">
            <v>--</v>
          </cell>
          <cell r="CQ417" t="str">
            <v>--</v>
          </cell>
          <cell r="CR417" t="str">
            <v>--</v>
          </cell>
          <cell r="CS417" t="str">
            <v>--</v>
          </cell>
          <cell r="CT417" t="str">
            <v>--</v>
          </cell>
          <cell r="CU417" t="str">
            <v>--</v>
          </cell>
          <cell r="CV417" t="str">
            <v>--</v>
          </cell>
          <cell r="CW417" t="str">
            <v>--</v>
          </cell>
          <cell r="CX417" t="str">
            <v>--</v>
          </cell>
          <cell r="CY417" t="str">
            <v>--</v>
          </cell>
          <cell r="CZ417" t="str">
            <v>--</v>
          </cell>
          <cell r="DA417" t="str">
            <v>--</v>
          </cell>
          <cell r="DB417" t="str">
            <v>--</v>
          </cell>
          <cell r="DC417" t="str">
            <v>--</v>
          </cell>
          <cell r="DD417" t="str">
            <v>--</v>
          </cell>
          <cell r="DE417" t="str">
            <v>--</v>
          </cell>
          <cell r="DF417" t="str">
            <v>--</v>
          </cell>
          <cell r="DG417" t="str">
            <v>--</v>
          </cell>
          <cell r="DH417" t="str">
            <v>--</v>
          </cell>
          <cell r="DI417" t="str">
            <v>--</v>
          </cell>
          <cell r="DJ417" t="str">
            <v>--</v>
          </cell>
          <cell r="DK417" t="str">
            <v>--</v>
          </cell>
          <cell r="DL417" t="str">
            <v>--</v>
          </cell>
          <cell r="DM417" t="str">
            <v>--</v>
          </cell>
          <cell r="DN417" t="str">
            <v>--</v>
          </cell>
          <cell r="DO417" t="str">
            <v>--</v>
          </cell>
          <cell r="DP417" t="str">
            <v>--</v>
          </cell>
          <cell r="DQ417" t="str">
            <v>--</v>
          </cell>
          <cell r="DR417" t="str">
            <v>--</v>
          </cell>
          <cell r="DS417" t="str">
            <v>--</v>
          </cell>
          <cell r="DT417" t="str">
            <v>--</v>
          </cell>
          <cell r="DU417" t="str">
            <v>--</v>
          </cell>
          <cell r="DV417" t="str">
            <v>--</v>
          </cell>
          <cell r="DW417" t="str">
            <v>--</v>
          </cell>
          <cell r="DX417" t="str">
            <v>--</v>
          </cell>
          <cell r="DY417" t="str">
            <v>--</v>
          </cell>
          <cell r="DZ417" t="str">
            <v>--</v>
          </cell>
          <cell r="EA417" t="str">
            <v>--</v>
          </cell>
          <cell r="EB417" t="str">
            <v>--</v>
          </cell>
          <cell r="EC417" t="str">
            <v>--</v>
          </cell>
          <cell r="ED417" t="str">
            <v>--</v>
          </cell>
          <cell r="EE417" t="str">
            <v>--</v>
          </cell>
          <cell r="EF417" t="str">
            <v>--</v>
          </cell>
          <cell r="EG417" t="str">
            <v>--</v>
          </cell>
        </row>
        <row r="418">
          <cell r="A418" t="str">
            <v>06150020Multi-race, Non-Hisp./Lat.</v>
          </cell>
          <cell r="B418" t="str">
            <v>06150020M</v>
          </cell>
          <cell r="C418" t="str">
            <v>0615</v>
          </cell>
          <cell r="D418" t="str">
            <v>06150020</v>
          </cell>
          <cell r="E418" t="str">
            <v>Athol-Royalston</v>
          </cell>
          <cell r="F418" t="str">
            <v>Riverbend-Sanders Street School</v>
          </cell>
          <cell r="G418" t="str">
            <v>ES</v>
          </cell>
          <cell r="H418" t="str">
            <v>Athol-Royalston - Riverbend-Sanders Street School (06150020)</v>
          </cell>
          <cell r="I418" t="str">
            <v>Multi-race, Non-Hisp./Lat.</v>
          </cell>
          <cell r="J418" t="str">
            <v>06150020Multi-race, Non-Hisp./Lat.</v>
          </cell>
          <cell r="K418" t="str">
            <v>Level 3</v>
          </cell>
          <cell r="L418" t="str">
            <v>--</v>
          </cell>
          <cell r="M418" t="str">
            <v>--</v>
          </cell>
          <cell r="N418" t="str">
            <v>--</v>
          </cell>
          <cell r="O418" t="str">
            <v>--</v>
          </cell>
          <cell r="P418" t="str">
            <v>--</v>
          </cell>
          <cell r="Q418" t="str">
            <v>--</v>
          </cell>
          <cell r="R418" t="str">
            <v>--</v>
          </cell>
          <cell r="S418" t="str">
            <v>--</v>
          </cell>
          <cell r="T418" t="str">
            <v>--</v>
          </cell>
          <cell r="U418" t="str">
            <v>--</v>
          </cell>
          <cell r="V418" t="str">
            <v>--</v>
          </cell>
          <cell r="W418" t="str">
            <v>--</v>
          </cell>
          <cell r="X418" t="str">
            <v>--</v>
          </cell>
          <cell r="Y418" t="str">
            <v>--</v>
          </cell>
          <cell r="Z418" t="str">
            <v>--</v>
          </cell>
          <cell r="AA418" t="str">
            <v>--</v>
          </cell>
          <cell r="AB418" t="str">
            <v>--</v>
          </cell>
          <cell r="AC418" t="str">
            <v>--</v>
          </cell>
          <cell r="AD418" t="str">
            <v>--</v>
          </cell>
          <cell r="AE418" t="str">
            <v>--</v>
          </cell>
          <cell r="AF418" t="str">
            <v>--</v>
          </cell>
          <cell r="AG418" t="str">
            <v>--</v>
          </cell>
          <cell r="AH418" t="str">
            <v>--</v>
          </cell>
          <cell r="AI418" t="str">
            <v>--</v>
          </cell>
          <cell r="AJ418" t="str">
            <v>--</v>
          </cell>
          <cell r="AK418" t="str">
            <v>--</v>
          </cell>
          <cell r="AL418" t="str">
            <v>--</v>
          </cell>
          <cell r="AM418" t="str">
            <v>--</v>
          </cell>
          <cell r="AN418" t="str">
            <v>--</v>
          </cell>
          <cell r="AO418" t="str">
            <v>--</v>
          </cell>
          <cell r="AP418" t="str">
            <v>--</v>
          </cell>
          <cell r="AQ418" t="str">
            <v>--</v>
          </cell>
          <cell r="AR418" t="str">
            <v>--</v>
          </cell>
          <cell r="AS418" t="str">
            <v>--</v>
          </cell>
          <cell r="AT418" t="str">
            <v>--</v>
          </cell>
          <cell r="AU418" t="str">
            <v>--</v>
          </cell>
          <cell r="AV418" t="str">
            <v>--</v>
          </cell>
          <cell r="AW418" t="str">
            <v>--</v>
          </cell>
          <cell r="AX418" t="str">
            <v>--</v>
          </cell>
          <cell r="AY418" t="str">
            <v>--</v>
          </cell>
          <cell r="AZ418" t="str">
            <v>--</v>
          </cell>
          <cell r="BA418" t="str">
            <v>--</v>
          </cell>
          <cell r="BB418" t="str">
            <v>--</v>
          </cell>
          <cell r="BC418" t="str">
            <v>--</v>
          </cell>
          <cell r="BD418" t="str">
            <v>--</v>
          </cell>
          <cell r="BE418" t="str">
            <v>--</v>
          </cell>
          <cell r="BF418" t="str">
            <v>--</v>
          </cell>
          <cell r="BG418" t="str">
            <v>--</v>
          </cell>
          <cell r="BH418" t="str">
            <v>--</v>
          </cell>
          <cell r="BI418" t="str">
            <v>--</v>
          </cell>
          <cell r="BJ418" t="str">
            <v>--</v>
          </cell>
          <cell r="BK418" t="str">
            <v>--</v>
          </cell>
          <cell r="BL418" t="str">
            <v>--</v>
          </cell>
          <cell r="BM418" t="str">
            <v>--</v>
          </cell>
          <cell r="BN418" t="str">
            <v>--</v>
          </cell>
          <cell r="BO418" t="str">
            <v>--</v>
          </cell>
          <cell r="BP418" t="str">
            <v>--</v>
          </cell>
          <cell r="BQ418" t="str">
            <v>--</v>
          </cell>
          <cell r="BR418" t="str">
            <v>--</v>
          </cell>
          <cell r="BS418" t="str">
            <v>--</v>
          </cell>
          <cell r="BT418" t="str">
            <v>--</v>
          </cell>
          <cell r="BU418" t="str">
            <v>--</v>
          </cell>
          <cell r="BV418" t="str">
            <v>--</v>
          </cell>
          <cell r="BW418" t="str">
            <v>--</v>
          </cell>
          <cell r="BX418" t="str">
            <v>--</v>
          </cell>
          <cell r="BY418" t="str">
            <v>--</v>
          </cell>
          <cell r="BZ418" t="str">
            <v>--</v>
          </cell>
          <cell r="CA418" t="str">
            <v>--</v>
          </cell>
          <cell r="CB418" t="str">
            <v>--</v>
          </cell>
          <cell r="CC418" t="str">
            <v>--</v>
          </cell>
          <cell r="CD418" t="str">
            <v>--</v>
          </cell>
          <cell r="CE418" t="str">
            <v>--</v>
          </cell>
          <cell r="CF418" t="str">
            <v>--</v>
          </cell>
          <cell r="CG418" t="str">
            <v>--</v>
          </cell>
          <cell r="CH418" t="str">
            <v>--</v>
          </cell>
          <cell r="CI418" t="str">
            <v>--</v>
          </cell>
          <cell r="CJ418" t="str">
            <v>--</v>
          </cell>
          <cell r="CK418" t="str">
            <v>--</v>
          </cell>
          <cell r="CL418" t="str">
            <v>--</v>
          </cell>
          <cell r="CM418" t="str">
            <v>--</v>
          </cell>
          <cell r="CN418" t="str">
            <v>--</v>
          </cell>
          <cell r="CO418" t="str">
            <v>--</v>
          </cell>
          <cell r="CP418" t="str">
            <v>--</v>
          </cell>
          <cell r="CQ418" t="str">
            <v>--</v>
          </cell>
          <cell r="CR418" t="str">
            <v>--</v>
          </cell>
          <cell r="CS418" t="str">
            <v>--</v>
          </cell>
          <cell r="CT418" t="str">
            <v>--</v>
          </cell>
          <cell r="CU418" t="str">
            <v>--</v>
          </cell>
          <cell r="CV418" t="str">
            <v>--</v>
          </cell>
          <cell r="CW418" t="str">
            <v>--</v>
          </cell>
          <cell r="CX418" t="str">
            <v>--</v>
          </cell>
          <cell r="CY418" t="str">
            <v>--</v>
          </cell>
          <cell r="CZ418" t="str">
            <v>--</v>
          </cell>
          <cell r="DA418" t="str">
            <v>--</v>
          </cell>
          <cell r="DB418" t="str">
            <v>--</v>
          </cell>
          <cell r="DC418" t="str">
            <v>--</v>
          </cell>
          <cell r="DD418" t="str">
            <v>--</v>
          </cell>
          <cell r="DE418" t="str">
            <v>--</v>
          </cell>
          <cell r="DF418" t="str">
            <v>--</v>
          </cell>
          <cell r="DG418" t="str">
            <v>--</v>
          </cell>
          <cell r="DH418" t="str">
            <v>--</v>
          </cell>
          <cell r="DI418" t="str">
            <v>--</v>
          </cell>
          <cell r="DJ418" t="str">
            <v>--</v>
          </cell>
          <cell r="DK418" t="str">
            <v>--</v>
          </cell>
          <cell r="DL418" t="str">
            <v>--</v>
          </cell>
          <cell r="DM418" t="str">
            <v>--</v>
          </cell>
          <cell r="DN418" t="str">
            <v>--</v>
          </cell>
          <cell r="DO418" t="str">
            <v>--</v>
          </cell>
          <cell r="DP418" t="str">
            <v>--</v>
          </cell>
          <cell r="DQ418" t="str">
            <v>--</v>
          </cell>
          <cell r="DR418" t="str">
            <v>--</v>
          </cell>
          <cell r="DS418" t="str">
            <v>--</v>
          </cell>
          <cell r="DT418" t="str">
            <v>--</v>
          </cell>
          <cell r="DU418" t="str">
            <v>--</v>
          </cell>
          <cell r="DV418" t="str">
            <v>--</v>
          </cell>
          <cell r="DW418" t="str">
            <v>--</v>
          </cell>
          <cell r="DX418" t="str">
            <v>--</v>
          </cell>
          <cell r="DY418" t="str">
            <v>--</v>
          </cell>
          <cell r="DZ418" t="str">
            <v>--</v>
          </cell>
          <cell r="EA418" t="str">
            <v>--</v>
          </cell>
          <cell r="EB418" t="str">
            <v>--</v>
          </cell>
          <cell r="EC418" t="str">
            <v>--</v>
          </cell>
          <cell r="ED418" t="str">
            <v>--</v>
          </cell>
          <cell r="EE418" t="str">
            <v>--</v>
          </cell>
          <cell r="EF418" t="str">
            <v>--</v>
          </cell>
          <cell r="EG418" t="str">
            <v>--</v>
          </cell>
        </row>
        <row r="419">
          <cell r="A419" t="str">
            <v>06150020Amer. Ind. or Alaska Nat.</v>
          </cell>
          <cell r="B419" t="str">
            <v>06150020N</v>
          </cell>
          <cell r="C419" t="str">
            <v>0615</v>
          </cell>
          <cell r="D419" t="str">
            <v>06150020</v>
          </cell>
          <cell r="E419" t="str">
            <v>Athol-Royalston</v>
          </cell>
          <cell r="F419" t="str">
            <v>Riverbend-Sanders Street School</v>
          </cell>
          <cell r="G419" t="str">
            <v>ES</v>
          </cell>
          <cell r="H419" t="str">
            <v>Athol-Royalston - Riverbend-Sanders Street School (06150020)</v>
          </cell>
          <cell r="I419" t="str">
            <v>Amer. Ind. or Alaska Nat.</v>
          </cell>
          <cell r="J419" t="str">
            <v>06150020Amer. Ind. or Alaska Nat.</v>
          </cell>
          <cell r="K419" t="str">
            <v>--</v>
          </cell>
          <cell r="L419" t="str">
            <v>--</v>
          </cell>
          <cell r="M419" t="str">
            <v>--</v>
          </cell>
          <cell r="N419" t="str">
            <v>--</v>
          </cell>
          <cell r="O419" t="str">
            <v>--</v>
          </cell>
          <cell r="P419" t="str">
            <v>--</v>
          </cell>
          <cell r="Q419" t="str">
            <v>--</v>
          </cell>
          <cell r="R419" t="str">
            <v>--</v>
          </cell>
          <cell r="S419" t="str">
            <v>--</v>
          </cell>
          <cell r="T419" t="str">
            <v>--</v>
          </cell>
          <cell r="U419" t="str">
            <v>--</v>
          </cell>
          <cell r="V419" t="str">
            <v>--</v>
          </cell>
          <cell r="W419" t="str">
            <v>--</v>
          </cell>
          <cell r="X419" t="str">
            <v>--</v>
          </cell>
          <cell r="Y419" t="str">
            <v>--</v>
          </cell>
          <cell r="Z419" t="str">
            <v>--</v>
          </cell>
          <cell r="AA419" t="str">
            <v>--</v>
          </cell>
          <cell r="AB419" t="str">
            <v>--</v>
          </cell>
          <cell r="AC419" t="str">
            <v>--</v>
          </cell>
          <cell r="AD419" t="str">
            <v>--</v>
          </cell>
          <cell r="AE419" t="str">
            <v>--</v>
          </cell>
          <cell r="AF419" t="str">
            <v>--</v>
          </cell>
          <cell r="AG419" t="str">
            <v>--</v>
          </cell>
          <cell r="AH419" t="str">
            <v>--</v>
          </cell>
          <cell r="AI419" t="str">
            <v>--</v>
          </cell>
          <cell r="AJ419" t="str">
            <v>--</v>
          </cell>
          <cell r="AK419" t="str">
            <v>--</v>
          </cell>
          <cell r="AL419" t="str">
            <v>--</v>
          </cell>
          <cell r="AM419" t="str">
            <v>--</v>
          </cell>
          <cell r="AN419" t="str">
            <v>--</v>
          </cell>
          <cell r="AO419" t="str">
            <v>--</v>
          </cell>
          <cell r="AP419" t="str">
            <v>--</v>
          </cell>
          <cell r="AQ419" t="str">
            <v>--</v>
          </cell>
          <cell r="AR419" t="str">
            <v>--</v>
          </cell>
          <cell r="AS419" t="str">
            <v>--</v>
          </cell>
          <cell r="AT419" t="str">
            <v>--</v>
          </cell>
          <cell r="AU419" t="str">
            <v>--</v>
          </cell>
          <cell r="AV419" t="str">
            <v>--</v>
          </cell>
          <cell r="AW419" t="str">
            <v>--</v>
          </cell>
          <cell r="AX419" t="str">
            <v>--</v>
          </cell>
          <cell r="AY419" t="str">
            <v>--</v>
          </cell>
          <cell r="AZ419" t="str">
            <v>--</v>
          </cell>
          <cell r="BA419" t="str">
            <v>--</v>
          </cell>
          <cell r="BB419" t="str">
            <v>--</v>
          </cell>
          <cell r="BC419" t="str">
            <v>--</v>
          </cell>
          <cell r="BD419" t="str">
            <v>--</v>
          </cell>
          <cell r="BE419" t="str">
            <v>--</v>
          </cell>
          <cell r="BF419" t="str">
            <v>--</v>
          </cell>
          <cell r="BG419" t="str">
            <v>--</v>
          </cell>
          <cell r="BH419" t="str">
            <v>--</v>
          </cell>
          <cell r="BI419" t="str">
            <v>--</v>
          </cell>
          <cell r="BJ419" t="str">
            <v>--</v>
          </cell>
          <cell r="BK419" t="str">
            <v>--</v>
          </cell>
          <cell r="BL419" t="str">
            <v>--</v>
          </cell>
          <cell r="BM419" t="str">
            <v>--</v>
          </cell>
          <cell r="BN419" t="str">
            <v>--</v>
          </cell>
          <cell r="BO419" t="str">
            <v>--</v>
          </cell>
          <cell r="BP419" t="str">
            <v>--</v>
          </cell>
          <cell r="BQ419" t="str">
            <v>--</v>
          </cell>
          <cell r="BR419" t="str">
            <v>--</v>
          </cell>
          <cell r="BS419" t="str">
            <v>--</v>
          </cell>
          <cell r="BT419" t="str">
            <v>--</v>
          </cell>
          <cell r="BU419" t="str">
            <v>--</v>
          </cell>
          <cell r="BV419" t="str">
            <v>--</v>
          </cell>
          <cell r="BW419" t="str">
            <v>--</v>
          </cell>
          <cell r="BX419" t="str">
            <v>--</v>
          </cell>
          <cell r="BY419" t="str">
            <v>--</v>
          </cell>
          <cell r="BZ419" t="str">
            <v>--</v>
          </cell>
          <cell r="CA419" t="str">
            <v>--</v>
          </cell>
          <cell r="CB419" t="str">
            <v>--</v>
          </cell>
          <cell r="CC419" t="str">
            <v>--</v>
          </cell>
          <cell r="CD419" t="str">
            <v>--</v>
          </cell>
          <cell r="CE419" t="str">
            <v>--</v>
          </cell>
          <cell r="CF419" t="str">
            <v>--</v>
          </cell>
          <cell r="CG419" t="str">
            <v>--</v>
          </cell>
          <cell r="CH419" t="str">
            <v>--</v>
          </cell>
          <cell r="CI419" t="str">
            <v>--</v>
          </cell>
          <cell r="CJ419" t="str">
            <v>--</v>
          </cell>
          <cell r="CK419" t="str">
            <v>--</v>
          </cell>
          <cell r="CL419" t="str">
            <v>--</v>
          </cell>
          <cell r="CM419" t="str">
            <v>--</v>
          </cell>
          <cell r="CN419" t="str">
            <v>--</v>
          </cell>
          <cell r="CO419" t="str">
            <v>--</v>
          </cell>
          <cell r="CP419" t="str">
            <v>--</v>
          </cell>
          <cell r="CQ419" t="str">
            <v>--</v>
          </cell>
          <cell r="CR419" t="str">
            <v>--</v>
          </cell>
          <cell r="CS419" t="str">
            <v>--</v>
          </cell>
          <cell r="CT419" t="str">
            <v>--</v>
          </cell>
          <cell r="CU419" t="str">
            <v>--</v>
          </cell>
          <cell r="CV419" t="str">
            <v>--</v>
          </cell>
          <cell r="CW419" t="str">
            <v>--</v>
          </cell>
          <cell r="CX419" t="str">
            <v>--</v>
          </cell>
          <cell r="CY419" t="str">
            <v>--</v>
          </cell>
          <cell r="CZ419" t="str">
            <v>--</v>
          </cell>
          <cell r="DA419" t="str">
            <v>--</v>
          </cell>
          <cell r="DB419" t="str">
            <v>--</v>
          </cell>
          <cell r="DC419" t="str">
            <v>--</v>
          </cell>
          <cell r="DD419" t="str">
            <v>--</v>
          </cell>
          <cell r="DE419" t="str">
            <v>--</v>
          </cell>
          <cell r="DF419" t="str">
            <v>--</v>
          </cell>
          <cell r="DG419" t="str">
            <v>--</v>
          </cell>
          <cell r="DH419" t="str">
            <v>--</v>
          </cell>
          <cell r="DI419" t="str">
            <v>--</v>
          </cell>
          <cell r="DJ419" t="str">
            <v>--</v>
          </cell>
          <cell r="DK419" t="str">
            <v>--</v>
          </cell>
          <cell r="DL419" t="str">
            <v>--</v>
          </cell>
          <cell r="DM419" t="str">
            <v>--</v>
          </cell>
          <cell r="DN419" t="str">
            <v>--</v>
          </cell>
          <cell r="DO419" t="str">
            <v>--</v>
          </cell>
          <cell r="DP419" t="str">
            <v>--</v>
          </cell>
          <cell r="DQ419" t="str">
            <v>--</v>
          </cell>
          <cell r="DR419" t="str">
            <v>--</v>
          </cell>
          <cell r="DS419" t="str">
            <v>--</v>
          </cell>
          <cell r="DT419" t="str">
            <v>--</v>
          </cell>
          <cell r="DU419" t="str">
            <v>--</v>
          </cell>
          <cell r="DV419" t="str">
            <v>--</v>
          </cell>
          <cell r="DW419" t="str">
            <v>--</v>
          </cell>
          <cell r="DX419" t="str">
            <v>--</v>
          </cell>
          <cell r="DY419" t="str">
            <v>--</v>
          </cell>
          <cell r="DZ419" t="str">
            <v>--</v>
          </cell>
          <cell r="EA419" t="str">
            <v>--</v>
          </cell>
          <cell r="EB419" t="str">
            <v>--</v>
          </cell>
          <cell r="EC419" t="str">
            <v>--</v>
          </cell>
          <cell r="ED419" t="str">
            <v>--</v>
          </cell>
          <cell r="EE419" t="str">
            <v>--</v>
          </cell>
          <cell r="EF419" t="str">
            <v>--</v>
          </cell>
          <cell r="EG419" t="str">
            <v>--</v>
          </cell>
        </row>
        <row r="420">
          <cell r="A420" t="str">
            <v>06150020Nat. Haw. or Pacif. Isl.</v>
          </cell>
          <cell r="B420" t="str">
            <v>06150020P</v>
          </cell>
          <cell r="C420" t="str">
            <v>0615</v>
          </cell>
          <cell r="D420" t="str">
            <v>06150020</v>
          </cell>
          <cell r="E420" t="str">
            <v>Athol-Royalston</v>
          </cell>
          <cell r="F420" t="str">
            <v>Riverbend-Sanders Street School</v>
          </cell>
          <cell r="G420" t="str">
            <v>ES</v>
          </cell>
          <cell r="H420" t="str">
            <v>Athol-Royalston - Riverbend-Sanders Street School (06150020)</v>
          </cell>
          <cell r="I420" t="str">
            <v>Nat. Haw. or Pacif. Isl.</v>
          </cell>
          <cell r="J420" t="str">
            <v>06150020Nat. Haw. or Pacif. Isl.</v>
          </cell>
          <cell r="K420" t="str">
            <v>Level 3</v>
          </cell>
          <cell r="L420" t="str">
            <v>--</v>
          </cell>
          <cell r="M420" t="str">
            <v>--</v>
          </cell>
          <cell r="N420" t="str">
            <v>--</v>
          </cell>
          <cell r="O420" t="str">
            <v>--</v>
          </cell>
          <cell r="P420" t="str">
            <v>--</v>
          </cell>
          <cell r="Q420" t="str">
            <v>--</v>
          </cell>
          <cell r="R420" t="str">
            <v>--</v>
          </cell>
          <cell r="S420" t="str">
            <v>--</v>
          </cell>
          <cell r="T420" t="str">
            <v>--</v>
          </cell>
          <cell r="U420" t="str">
            <v>--</v>
          </cell>
          <cell r="V420" t="str">
            <v>--</v>
          </cell>
          <cell r="W420" t="str">
            <v>--</v>
          </cell>
          <cell r="X420" t="str">
            <v>--</v>
          </cell>
          <cell r="Y420" t="str">
            <v>--</v>
          </cell>
          <cell r="Z420" t="str">
            <v>--</v>
          </cell>
          <cell r="AA420" t="str">
            <v>--</v>
          </cell>
          <cell r="AB420" t="str">
            <v>--</v>
          </cell>
          <cell r="AC420" t="str">
            <v>--</v>
          </cell>
          <cell r="AD420" t="str">
            <v>--</v>
          </cell>
          <cell r="AE420" t="str">
            <v>--</v>
          </cell>
          <cell r="AF420" t="str">
            <v>--</v>
          </cell>
          <cell r="AG420" t="str">
            <v>--</v>
          </cell>
          <cell r="AH420" t="str">
            <v>--</v>
          </cell>
          <cell r="AI420" t="str">
            <v>--</v>
          </cell>
          <cell r="AJ420" t="str">
            <v>--</v>
          </cell>
          <cell r="AK420" t="str">
            <v>--</v>
          </cell>
          <cell r="AL420" t="str">
            <v>--</v>
          </cell>
          <cell r="AM420" t="str">
            <v>--</v>
          </cell>
          <cell r="AN420" t="str">
            <v>--</v>
          </cell>
          <cell r="AO420" t="str">
            <v>--</v>
          </cell>
          <cell r="AP420" t="str">
            <v>--</v>
          </cell>
          <cell r="AQ420" t="str">
            <v>--</v>
          </cell>
          <cell r="AR420" t="str">
            <v>--</v>
          </cell>
          <cell r="AS420" t="str">
            <v>--</v>
          </cell>
          <cell r="AT420" t="str">
            <v>--</v>
          </cell>
          <cell r="AU420" t="str">
            <v>--</v>
          </cell>
          <cell r="AV420" t="str">
            <v>--</v>
          </cell>
          <cell r="AW420" t="str">
            <v>--</v>
          </cell>
          <cell r="AX420" t="str">
            <v>--</v>
          </cell>
          <cell r="AY420" t="str">
            <v>--</v>
          </cell>
          <cell r="AZ420" t="str">
            <v>--</v>
          </cell>
          <cell r="BA420" t="str">
            <v>--</v>
          </cell>
          <cell r="BB420" t="str">
            <v>--</v>
          </cell>
          <cell r="BC420" t="str">
            <v>--</v>
          </cell>
          <cell r="BD420" t="str">
            <v>--</v>
          </cell>
          <cell r="BE420" t="str">
            <v>--</v>
          </cell>
          <cell r="BF420" t="str">
            <v>--</v>
          </cell>
          <cell r="BG420" t="str">
            <v>--</v>
          </cell>
          <cell r="BH420" t="str">
            <v>--</v>
          </cell>
          <cell r="BI420" t="str">
            <v>--</v>
          </cell>
          <cell r="BJ420" t="str">
            <v>--</v>
          </cell>
          <cell r="BK420" t="str">
            <v>--</v>
          </cell>
          <cell r="BL420" t="str">
            <v>--</v>
          </cell>
          <cell r="BM420" t="str">
            <v>--</v>
          </cell>
          <cell r="BN420" t="str">
            <v>--</v>
          </cell>
          <cell r="BO420" t="str">
            <v>--</v>
          </cell>
          <cell r="BP420" t="str">
            <v>--</v>
          </cell>
          <cell r="BQ420" t="str">
            <v>--</v>
          </cell>
          <cell r="BR420" t="str">
            <v>--</v>
          </cell>
          <cell r="BS420" t="str">
            <v>--</v>
          </cell>
          <cell r="BT420" t="str">
            <v>--</v>
          </cell>
          <cell r="BU420" t="str">
            <v>--</v>
          </cell>
          <cell r="BV420" t="str">
            <v>--</v>
          </cell>
          <cell r="BW420" t="str">
            <v>--</v>
          </cell>
          <cell r="BX420" t="str">
            <v>--</v>
          </cell>
          <cell r="BY420" t="str">
            <v>--</v>
          </cell>
          <cell r="BZ420" t="str">
            <v>--</v>
          </cell>
          <cell r="CA420" t="str">
            <v>--</v>
          </cell>
          <cell r="CB420" t="str">
            <v>--</v>
          </cell>
          <cell r="CC420" t="str">
            <v>--</v>
          </cell>
          <cell r="CD420" t="str">
            <v>--</v>
          </cell>
          <cell r="CE420" t="str">
            <v>--</v>
          </cell>
          <cell r="CF420" t="str">
            <v>--</v>
          </cell>
          <cell r="CG420" t="str">
            <v>--</v>
          </cell>
          <cell r="CH420" t="str">
            <v>--</v>
          </cell>
          <cell r="CI420" t="str">
            <v>--</v>
          </cell>
          <cell r="CJ420" t="str">
            <v>--</v>
          </cell>
          <cell r="CK420" t="str">
            <v>--</v>
          </cell>
          <cell r="CL420" t="str">
            <v>--</v>
          </cell>
          <cell r="CM420" t="str">
            <v>--</v>
          </cell>
          <cell r="CN420" t="str">
            <v>--</v>
          </cell>
          <cell r="CO420" t="str">
            <v>--</v>
          </cell>
          <cell r="CP420" t="str">
            <v>--</v>
          </cell>
          <cell r="CQ420" t="str">
            <v>--</v>
          </cell>
          <cell r="CR420" t="str">
            <v>--</v>
          </cell>
          <cell r="CS420" t="str">
            <v>--</v>
          </cell>
          <cell r="CT420" t="str">
            <v>--</v>
          </cell>
          <cell r="CU420" t="str">
            <v>--</v>
          </cell>
          <cell r="CV420" t="str">
            <v>--</v>
          </cell>
          <cell r="CW420" t="str">
            <v>--</v>
          </cell>
          <cell r="CX420" t="str">
            <v>--</v>
          </cell>
          <cell r="CY420" t="str">
            <v>--</v>
          </cell>
          <cell r="CZ420" t="str">
            <v>--</v>
          </cell>
          <cell r="DA420" t="str">
            <v>--</v>
          </cell>
          <cell r="DB420" t="str">
            <v>--</v>
          </cell>
          <cell r="DC420" t="str">
            <v>--</v>
          </cell>
          <cell r="DD420" t="str">
            <v>--</v>
          </cell>
          <cell r="DE420" t="str">
            <v>--</v>
          </cell>
          <cell r="DF420" t="str">
            <v>--</v>
          </cell>
          <cell r="DG420" t="str">
            <v>--</v>
          </cell>
          <cell r="DH420" t="str">
            <v>--</v>
          </cell>
          <cell r="DI420" t="str">
            <v>--</v>
          </cell>
          <cell r="DJ420" t="str">
            <v>--</v>
          </cell>
          <cell r="DK420" t="str">
            <v>--</v>
          </cell>
          <cell r="DL420" t="str">
            <v>--</v>
          </cell>
          <cell r="DM420" t="str">
            <v>--</v>
          </cell>
          <cell r="DN420" t="str">
            <v>--</v>
          </cell>
          <cell r="DO420" t="str">
            <v>--</v>
          </cell>
          <cell r="DP420" t="str">
            <v>--</v>
          </cell>
          <cell r="DQ420" t="str">
            <v>--</v>
          </cell>
          <cell r="DR420" t="str">
            <v>--</v>
          </cell>
          <cell r="DS420" t="str">
            <v>--</v>
          </cell>
          <cell r="DT420" t="str">
            <v>--</v>
          </cell>
          <cell r="DU420" t="str">
            <v>--</v>
          </cell>
          <cell r="DV420" t="str">
            <v>--</v>
          </cell>
          <cell r="DW420" t="str">
            <v>--</v>
          </cell>
          <cell r="DX420" t="str">
            <v>--</v>
          </cell>
          <cell r="DY420" t="str">
            <v>--</v>
          </cell>
          <cell r="DZ420" t="str">
            <v>--</v>
          </cell>
          <cell r="EA420" t="str">
            <v>--</v>
          </cell>
          <cell r="EB420" t="str">
            <v>--</v>
          </cell>
          <cell r="EC420" t="str">
            <v>--</v>
          </cell>
          <cell r="ED420" t="str">
            <v>--</v>
          </cell>
          <cell r="EE420" t="str">
            <v>--</v>
          </cell>
          <cell r="EF420" t="str">
            <v>--</v>
          </cell>
          <cell r="EG420" t="str">
            <v>--</v>
          </cell>
        </row>
        <row r="421">
          <cell r="A421" t="str">
            <v>06150020High needs</v>
          </cell>
          <cell r="B421" t="str">
            <v>06150020S</v>
          </cell>
          <cell r="C421" t="str">
            <v>0615</v>
          </cell>
          <cell r="D421" t="str">
            <v>06150020</v>
          </cell>
          <cell r="E421" t="str">
            <v>Athol-Royalston</v>
          </cell>
          <cell r="F421" t="str">
            <v>Riverbend-Sanders Street School</v>
          </cell>
          <cell r="G421" t="str">
            <v>ES</v>
          </cell>
          <cell r="H421" t="str">
            <v>Athol-Royalston - Riverbend-Sanders Street School (06150020)</v>
          </cell>
          <cell r="I421" t="str">
            <v>High needs</v>
          </cell>
          <cell r="J421" t="str">
            <v>06150020High needs</v>
          </cell>
          <cell r="K421" t="str">
            <v>Level 3</v>
          </cell>
          <cell r="L421">
            <v>55.3</v>
          </cell>
          <cell r="M421">
            <v>59</v>
          </cell>
          <cell r="N421">
            <v>54.4</v>
          </cell>
          <cell r="O421">
            <v>62.8</v>
          </cell>
          <cell r="P421">
            <v>61.8</v>
          </cell>
          <cell r="Q421">
            <v>66.5</v>
          </cell>
          <cell r="R421">
            <v>70.2</v>
          </cell>
          <cell r="S421">
            <v>73.900000000000006</v>
          </cell>
          <cell r="T421">
            <v>77.7</v>
          </cell>
          <cell r="U421">
            <v>54</v>
          </cell>
          <cell r="V421">
            <v>57.8</v>
          </cell>
          <cell r="W421">
            <v>43.7</v>
          </cell>
          <cell r="X421">
            <v>61.7</v>
          </cell>
          <cell r="Y421">
            <v>53.8</v>
          </cell>
          <cell r="Z421">
            <v>65.5</v>
          </cell>
          <cell r="AA421">
            <v>69.3</v>
          </cell>
          <cell r="AB421">
            <v>73.2</v>
          </cell>
          <cell r="AC421">
            <v>77</v>
          </cell>
          <cell r="AD421" t="str">
            <v>--</v>
          </cell>
          <cell r="AE421" t="str">
            <v>--</v>
          </cell>
          <cell r="AF421" t="str">
            <v>--</v>
          </cell>
          <cell r="AG421" t="str">
            <v>--</v>
          </cell>
          <cell r="AH421" t="str">
            <v>--</v>
          </cell>
          <cell r="AI421" t="str">
            <v>--</v>
          </cell>
          <cell r="AJ421" t="str">
            <v>--</v>
          </cell>
          <cell r="AK421" t="str">
            <v>--</v>
          </cell>
          <cell r="AL421" t="str">
            <v>--</v>
          </cell>
          <cell r="AM421" t="str">
            <v>--</v>
          </cell>
          <cell r="AN421" t="str">
            <v>--</v>
          </cell>
          <cell r="AO421" t="str">
            <v>--</v>
          </cell>
          <cell r="AP421" t="str">
            <v>--</v>
          </cell>
          <cell r="AQ421" t="str">
            <v>--</v>
          </cell>
          <cell r="AR421" t="str">
            <v>--</v>
          </cell>
          <cell r="AS421" t="str">
            <v>--</v>
          </cell>
          <cell r="AT421" t="str">
            <v>--</v>
          </cell>
          <cell r="AU421" t="str">
            <v>--</v>
          </cell>
          <cell r="AV421" t="str">
            <v>--</v>
          </cell>
          <cell r="AW421" t="str">
            <v>--</v>
          </cell>
          <cell r="AX421" t="str">
            <v>--</v>
          </cell>
          <cell r="AY421" t="str">
            <v>--</v>
          </cell>
          <cell r="AZ421" t="str">
            <v>--</v>
          </cell>
          <cell r="BA421" t="str">
            <v>--</v>
          </cell>
          <cell r="BB421" t="str">
            <v>--</v>
          </cell>
          <cell r="BC421" t="str">
            <v>--</v>
          </cell>
          <cell r="BD421" t="str">
            <v>--</v>
          </cell>
          <cell r="BE421" t="str">
            <v>--</v>
          </cell>
          <cell r="BF421" t="str">
            <v>--</v>
          </cell>
          <cell r="BG421" t="str">
            <v>--</v>
          </cell>
          <cell r="BH421" t="str">
            <v>--</v>
          </cell>
          <cell r="BI421" t="str">
            <v>--</v>
          </cell>
          <cell r="BJ421" t="str">
            <v>--</v>
          </cell>
          <cell r="BK421" t="str">
            <v>--</v>
          </cell>
          <cell r="BL421" t="str">
            <v>--</v>
          </cell>
          <cell r="BM421" t="str">
            <v>--</v>
          </cell>
          <cell r="BN421">
            <v>35.5</v>
          </cell>
          <cell r="BO421">
            <v>45.5</v>
          </cell>
          <cell r="BP421">
            <v>21</v>
          </cell>
          <cell r="BQ421">
            <v>31</v>
          </cell>
          <cell r="BR421">
            <v>21</v>
          </cell>
          <cell r="BS421">
            <v>31</v>
          </cell>
          <cell r="BT421">
            <v>41</v>
          </cell>
          <cell r="BU421">
            <v>51</v>
          </cell>
          <cell r="BV421">
            <v>51</v>
          </cell>
          <cell r="BW421">
            <v>45</v>
          </cell>
          <cell r="BX421">
            <v>51</v>
          </cell>
          <cell r="BY421">
            <v>27</v>
          </cell>
          <cell r="BZ421">
            <v>37</v>
          </cell>
          <cell r="CA421">
            <v>27</v>
          </cell>
          <cell r="CB421">
            <v>37</v>
          </cell>
          <cell r="CC421">
            <v>47</v>
          </cell>
          <cell r="CD421">
            <v>51</v>
          </cell>
          <cell r="CE421">
            <v>51</v>
          </cell>
          <cell r="CF421">
            <v>28.1</v>
          </cell>
          <cell r="CG421">
            <v>25.3</v>
          </cell>
          <cell r="CH421">
            <v>38</v>
          </cell>
          <cell r="CI421">
            <v>34.200000000000003</v>
          </cell>
          <cell r="CJ421">
            <v>22.4</v>
          </cell>
          <cell r="CK421">
            <v>20.2</v>
          </cell>
          <cell r="CL421">
            <v>18.100000000000001</v>
          </cell>
          <cell r="CM421">
            <v>16.3</v>
          </cell>
          <cell r="CN421">
            <v>14.7</v>
          </cell>
          <cell r="CO421">
            <v>35.700000000000003</v>
          </cell>
          <cell r="CP421">
            <v>32.1</v>
          </cell>
          <cell r="CQ421">
            <v>53.2</v>
          </cell>
          <cell r="CR421">
            <v>47.9</v>
          </cell>
          <cell r="CS421">
            <v>35.299999999999997</v>
          </cell>
          <cell r="CT421">
            <v>31.8</v>
          </cell>
          <cell r="CU421">
            <v>28.6</v>
          </cell>
          <cell r="CV421">
            <v>25.7</v>
          </cell>
          <cell r="CW421">
            <v>23.2</v>
          </cell>
          <cell r="CX421" t="str">
            <v>--</v>
          </cell>
          <cell r="CY421" t="str">
            <v>--</v>
          </cell>
          <cell r="CZ421" t="str">
            <v>--</v>
          </cell>
          <cell r="DA421" t="str">
            <v>--</v>
          </cell>
          <cell r="DB421" t="str">
            <v>--</v>
          </cell>
          <cell r="DC421" t="str">
            <v>--</v>
          </cell>
          <cell r="DD421" t="str">
            <v>--</v>
          </cell>
          <cell r="DE421" t="str">
            <v>--</v>
          </cell>
          <cell r="DF421" t="str">
            <v>--</v>
          </cell>
          <cell r="DG421">
            <v>0</v>
          </cell>
          <cell r="DH421">
            <v>1</v>
          </cell>
          <cell r="DI421">
            <v>3.8</v>
          </cell>
          <cell r="DJ421">
            <v>4.2</v>
          </cell>
          <cell r="DK421">
            <v>0</v>
          </cell>
          <cell r="DL421">
            <v>1</v>
          </cell>
          <cell r="DM421">
            <v>1.1000000000000001</v>
          </cell>
          <cell r="DN421">
            <v>1.2</v>
          </cell>
          <cell r="DO421">
            <v>1.3</v>
          </cell>
          <cell r="DP421">
            <v>0</v>
          </cell>
          <cell r="DQ421">
            <v>1</v>
          </cell>
          <cell r="DR421">
            <v>0</v>
          </cell>
          <cell r="DS421">
            <v>1</v>
          </cell>
          <cell r="DT421">
            <v>1.2</v>
          </cell>
          <cell r="DU421">
            <v>1.3</v>
          </cell>
          <cell r="DV421">
            <v>1.5</v>
          </cell>
          <cell r="DW421">
            <v>1.6</v>
          </cell>
          <cell r="DX421">
            <v>1.8</v>
          </cell>
          <cell r="DY421" t="str">
            <v>--</v>
          </cell>
          <cell r="DZ421" t="str">
            <v>--</v>
          </cell>
          <cell r="EA421" t="str">
            <v>--</v>
          </cell>
          <cell r="EB421" t="str">
            <v>--</v>
          </cell>
          <cell r="EC421" t="str">
            <v>--</v>
          </cell>
          <cell r="ED421" t="str">
            <v>--</v>
          </cell>
          <cell r="EE421" t="str">
            <v>--</v>
          </cell>
          <cell r="EF421" t="str">
            <v>--</v>
          </cell>
          <cell r="EG421" t="str">
            <v>--</v>
          </cell>
        </row>
        <row r="422">
          <cell r="A422" t="str">
            <v>06150020All students</v>
          </cell>
          <cell r="B422" t="str">
            <v>06150020T</v>
          </cell>
          <cell r="C422" t="str">
            <v>0615</v>
          </cell>
          <cell r="D422" t="str">
            <v>06150020</v>
          </cell>
          <cell r="E422" t="str">
            <v>Athol-Royalston</v>
          </cell>
          <cell r="F422" t="str">
            <v>Riverbend-Sanders Street School</v>
          </cell>
          <cell r="G422" t="str">
            <v>ES</v>
          </cell>
          <cell r="H422" t="str">
            <v>Athol-Royalston - Riverbend-Sanders Street School (06150020)</v>
          </cell>
          <cell r="I422" t="str">
            <v>All students</v>
          </cell>
          <cell r="J422" t="str">
            <v>06150020All students</v>
          </cell>
          <cell r="K422" t="str">
            <v>Level 3</v>
          </cell>
          <cell r="L422">
            <v>63.2</v>
          </cell>
          <cell r="M422">
            <v>66.3</v>
          </cell>
          <cell r="N422">
            <v>60.9</v>
          </cell>
          <cell r="O422">
            <v>69.3</v>
          </cell>
          <cell r="P422">
            <v>64.099999999999994</v>
          </cell>
          <cell r="Q422">
            <v>72.400000000000006</v>
          </cell>
          <cell r="R422">
            <v>75.5</v>
          </cell>
          <cell r="S422">
            <v>78.5</v>
          </cell>
          <cell r="T422">
            <v>81.599999999999994</v>
          </cell>
          <cell r="U422">
            <v>60.5</v>
          </cell>
          <cell r="V422">
            <v>63.8</v>
          </cell>
          <cell r="W422">
            <v>48.5</v>
          </cell>
          <cell r="X422">
            <v>67.099999999999994</v>
          </cell>
          <cell r="Y422">
            <v>56.6</v>
          </cell>
          <cell r="Z422">
            <v>70.400000000000006</v>
          </cell>
          <cell r="AA422">
            <v>73.7</v>
          </cell>
          <cell r="AB422">
            <v>77</v>
          </cell>
          <cell r="AC422">
            <v>80.3</v>
          </cell>
          <cell r="AD422" t="str">
            <v>--</v>
          </cell>
          <cell r="AE422" t="str">
            <v>--</v>
          </cell>
          <cell r="AF422" t="str">
            <v>--</v>
          </cell>
          <cell r="AG422" t="str">
            <v>--</v>
          </cell>
          <cell r="AH422" t="str">
            <v>--</v>
          </cell>
          <cell r="AI422" t="str">
            <v>--</v>
          </cell>
          <cell r="AJ422" t="str">
            <v>--</v>
          </cell>
          <cell r="AK422" t="str">
            <v>--</v>
          </cell>
          <cell r="AL422" t="str">
            <v>--</v>
          </cell>
          <cell r="AM422" t="str">
            <v>--</v>
          </cell>
          <cell r="AN422" t="str">
            <v>--</v>
          </cell>
          <cell r="AO422" t="str">
            <v>--</v>
          </cell>
          <cell r="AP422" t="str">
            <v>--</v>
          </cell>
          <cell r="AQ422" t="str">
            <v>--</v>
          </cell>
          <cell r="AR422" t="str">
            <v>--</v>
          </cell>
          <cell r="AS422" t="str">
            <v>--</v>
          </cell>
          <cell r="AT422" t="str">
            <v>--</v>
          </cell>
          <cell r="AU422" t="str">
            <v>--</v>
          </cell>
          <cell r="AV422" t="str">
            <v>--</v>
          </cell>
          <cell r="AW422" t="str">
            <v>--</v>
          </cell>
          <cell r="AX422" t="str">
            <v>--</v>
          </cell>
          <cell r="AY422" t="str">
            <v>--</v>
          </cell>
          <cell r="AZ422" t="str">
            <v>--</v>
          </cell>
          <cell r="BA422" t="str">
            <v>--</v>
          </cell>
          <cell r="BB422" t="str">
            <v>--</v>
          </cell>
          <cell r="BC422" t="str">
            <v>--</v>
          </cell>
          <cell r="BD422" t="str">
            <v>--</v>
          </cell>
          <cell r="BE422" t="str">
            <v>--</v>
          </cell>
          <cell r="BF422" t="str">
            <v>--</v>
          </cell>
          <cell r="BG422" t="str">
            <v>--</v>
          </cell>
          <cell r="BH422" t="str">
            <v>--</v>
          </cell>
          <cell r="BI422" t="str">
            <v>--</v>
          </cell>
          <cell r="BJ422" t="str">
            <v>--</v>
          </cell>
          <cell r="BK422" t="str">
            <v>--</v>
          </cell>
          <cell r="BL422" t="str">
            <v>--</v>
          </cell>
          <cell r="BM422" t="str">
            <v>--</v>
          </cell>
          <cell r="BN422">
            <v>36</v>
          </cell>
          <cell r="BO422">
            <v>46</v>
          </cell>
          <cell r="BP422">
            <v>28.5</v>
          </cell>
          <cell r="BQ422">
            <v>38.5</v>
          </cell>
          <cell r="BR422">
            <v>21.5</v>
          </cell>
          <cell r="BS422">
            <v>31.5</v>
          </cell>
          <cell r="BT422">
            <v>41.5</v>
          </cell>
          <cell r="BU422">
            <v>51</v>
          </cell>
          <cell r="BV422">
            <v>51</v>
          </cell>
          <cell r="BW422">
            <v>46</v>
          </cell>
          <cell r="BX422">
            <v>51</v>
          </cell>
          <cell r="BY422">
            <v>20</v>
          </cell>
          <cell r="BZ422">
            <v>30</v>
          </cell>
          <cell r="CA422">
            <v>26</v>
          </cell>
          <cell r="CB422">
            <v>36</v>
          </cell>
          <cell r="CC422">
            <v>46</v>
          </cell>
          <cell r="CD422">
            <v>51</v>
          </cell>
          <cell r="CE422">
            <v>51</v>
          </cell>
          <cell r="CF422">
            <v>22.4</v>
          </cell>
          <cell r="CG422">
            <v>20.2</v>
          </cell>
          <cell r="CH422">
            <v>30.1</v>
          </cell>
          <cell r="CI422">
            <v>27.1</v>
          </cell>
          <cell r="CJ422">
            <v>19.2</v>
          </cell>
          <cell r="CK422">
            <v>17.3</v>
          </cell>
          <cell r="CL422">
            <v>15.6</v>
          </cell>
          <cell r="CM422">
            <v>14</v>
          </cell>
          <cell r="CN422">
            <v>12.6</v>
          </cell>
          <cell r="CO422">
            <v>27</v>
          </cell>
          <cell r="CP422">
            <v>24.3</v>
          </cell>
          <cell r="CQ422">
            <v>46.6</v>
          </cell>
          <cell r="CR422">
            <v>41.9</v>
          </cell>
          <cell r="CS422">
            <v>31.3</v>
          </cell>
          <cell r="CT422">
            <v>28.2</v>
          </cell>
          <cell r="CU422">
            <v>25.4</v>
          </cell>
          <cell r="CV422">
            <v>22.8</v>
          </cell>
          <cell r="CW422">
            <v>20.5</v>
          </cell>
          <cell r="CX422" t="str">
            <v>--</v>
          </cell>
          <cell r="CY422" t="str">
            <v>--</v>
          </cell>
          <cell r="CZ422" t="str">
            <v>--</v>
          </cell>
          <cell r="DA422" t="str">
            <v>--</v>
          </cell>
          <cell r="DB422" t="str">
            <v>--</v>
          </cell>
          <cell r="DC422" t="str">
            <v>--</v>
          </cell>
          <cell r="DD422" t="str">
            <v>--</v>
          </cell>
          <cell r="DE422" t="str">
            <v>--</v>
          </cell>
          <cell r="DF422" t="str">
            <v>--</v>
          </cell>
          <cell r="DG422">
            <v>1.3</v>
          </cell>
          <cell r="DH422">
            <v>1.4</v>
          </cell>
          <cell r="DI422">
            <v>3.9</v>
          </cell>
          <cell r="DJ422">
            <v>4.3</v>
          </cell>
          <cell r="DK422">
            <v>1</v>
          </cell>
          <cell r="DL422">
            <v>1.1000000000000001</v>
          </cell>
          <cell r="DM422">
            <v>1.2</v>
          </cell>
          <cell r="DN422">
            <v>1.3</v>
          </cell>
          <cell r="DO422">
            <v>1.5</v>
          </cell>
          <cell r="DP422">
            <v>0</v>
          </cell>
          <cell r="DQ422">
            <v>1</v>
          </cell>
          <cell r="DR422">
            <v>1.9</v>
          </cell>
          <cell r="DS422">
            <v>2.1</v>
          </cell>
          <cell r="DT422">
            <v>1</v>
          </cell>
          <cell r="DU422">
            <v>1.1000000000000001</v>
          </cell>
          <cell r="DV422">
            <v>1.2</v>
          </cell>
          <cell r="DW422">
            <v>1.3</v>
          </cell>
          <cell r="DX422">
            <v>1.5</v>
          </cell>
          <cell r="DY422" t="str">
            <v>--</v>
          </cell>
          <cell r="DZ422" t="str">
            <v>--</v>
          </cell>
          <cell r="EA422" t="str">
            <v>--</v>
          </cell>
          <cell r="EB422" t="str">
            <v>--</v>
          </cell>
          <cell r="EC422" t="str">
            <v>--</v>
          </cell>
          <cell r="ED422" t="str">
            <v>--</v>
          </cell>
          <cell r="EE422" t="str">
            <v>--</v>
          </cell>
          <cell r="EF422" t="str">
            <v>--</v>
          </cell>
          <cell r="EG422" t="str">
            <v>--</v>
          </cell>
        </row>
        <row r="425">
          <cell r="A425" t="str">
            <v>Select School</v>
          </cell>
        </row>
        <row r="426">
          <cell r="A426" t="str">
            <v>Boston - Dearborn (00350074)</v>
          </cell>
        </row>
        <row r="427">
          <cell r="A427" t="str">
            <v>Boston - Elihu Greenwood Leadership Academy (00350094)</v>
          </cell>
        </row>
        <row r="428">
          <cell r="A428" t="str">
            <v>Boston - John P Holland (00350167)</v>
          </cell>
        </row>
        <row r="429">
          <cell r="A429" t="str">
            <v>Boston - John Winthrop (00350180)</v>
          </cell>
        </row>
        <row r="430">
          <cell r="A430" t="str">
            <v>Boston - Mattahunt (00350226)</v>
          </cell>
        </row>
        <row r="431">
          <cell r="A431" t="str">
            <v>Boston - Paul A Dever (00350268)</v>
          </cell>
        </row>
        <row r="432">
          <cell r="A432" t="str">
            <v>Boston - William Ellery Channing (00350360)</v>
          </cell>
        </row>
        <row r="433">
          <cell r="A433" t="str">
            <v>Boston - Jeremiah E Burke High (00350525)</v>
          </cell>
        </row>
        <row r="434">
          <cell r="A434" t="str">
            <v>Boston - The English High (00350535)</v>
          </cell>
        </row>
        <row r="435">
          <cell r="A435" t="str">
            <v>Fall River - Samuel Watson (00950145)</v>
          </cell>
        </row>
        <row r="436">
          <cell r="A436" t="str">
            <v>Holyoke - Morgan Elementary (01370025)</v>
          </cell>
        </row>
        <row r="437">
          <cell r="A437" t="str">
            <v>Holyoke - Wm J Dean Vocational Technical High (01370605)</v>
          </cell>
        </row>
        <row r="438">
          <cell r="A438" t="str">
            <v>Lawrence - Community Day Arlington (01490009)</v>
          </cell>
        </row>
        <row r="439">
          <cell r="A439" t="str">
            <v>Lawrence - James F Leonard (01490045)</v>
          </cell>
        </row>
        <row r="440">
          <cell r="A440" t="str">
            <v>Lawrence - Oliver Partnership School (01490048)</v>
          </cell>
        </row>
        <row r="441">
          <cell r="A441" t="str">
            <v>Lawrence - UP Academy Leonard Middle School (01490090)</v>
          </cell>
        </row>
        <row r="442">
          <cell r="A442" t="str">
            <v>Lawrence - Business Management &amp; Finance High School (01490530)</v>
          </cell>
        </row>
        <row r="443">
          <cell r="A443" t="str">
            <v>Lawrence - International High School (01490534)</v>
          </cell>
        </row>
        <row r="444">
          <cell r="A444" t="str">
            <v>New Bedford - Hayden/McFadden (02010078)</v>
          </cell>
        </row>
        <row r="445">
          <cell r="A445" t="str">
            <v>New Bedford - John Avery Parker (02010115)</v>
          </cell>
        </row>
        <row r="446">
          <cell r="A446" t="str">
            <v>New Bedford - New Bedford High (02010505)</v>
          </cell>
        </row>
        <row r="447">
          <cell r="A447" t="str">
            <v>Salem - Bentley (02580005)</v>
          </cell>
        </row>
        <row r="448">
          <cell r="A448" t="str">
            <v>Springfield - Milton Bradley School (02810023)</v>
          </cell>
        </row>
        <row r="449">
          <cell r="A449" t="str">
            <v>Springfield - Brightwood (02810025)</v>
          </cell>
        </row>
        <row r="450">
          <cell r="A450" t="str">
            <v>Springfield - Elias Brookings (02810030)</v>
          </cell>
        </row>
        <row r="451">
          <cell r="A451" t="str">
            <v>Springfield - William N. DeBerry (02810045)</v>
          </cell>
        </row>
        <row r="452">
          <cell r="A452" t="str">
            <v>Springfield - White Street (02810190)</v>
          </cell>
        </row>
        <row r="453">
          <cell r="A453" t="str">
            <v>Springfield - Chestnut Street Middle (02810310)</v>
          </cell>
        </row>
        <row r="454">
          <cell r="A454" t="str">
            <v>Springfield - John F Kennedy Middle (02810328)</v>
          </cell>
        </row>
        <row r="455">
          <cell r="A455" t="str">
            <v>Springfield - M Marcus Kiley Middle (02810330)</v>
          </cell>
        </row>
        <row r="456">
          <cell r="A456" t="str">
            <v>Springfield - High School Of Commerce (02810510)</v>
          </cell>
        </row>
        <row r="457">
          <cell r="A457" t="str">
            <v>Springfield - High School/Science-Tech (02810530)</v>
          </cell>
        </row>
        <row r="458">
          <cell r="A458" t="str">
            <v>Worcester - Burncoat Street (03480035)</v>
          </cell>
        </row>
        <row r="459">
          <cell r="A459" t="str">
            <v>Worcester - Chandler Elementary Community (03480050)</v>
          </cell>
        </row>
        <row r="460">
          <cell r="A460" t="str">
            <v>Athol-Royalston - Riverbend-Sanders Street School (06150020)</v>
          </cell>
        </row>
      </sheetData>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Relationships xmlns="http://schemas.openxmlformats.org/package/2006/relationships">
  <Relationship Id="rId1" Type="http://schemas.openxmlformats.org/officeDocument/2006/relationships/printerSettings" Target="../printerSettings/printerSettings1.bin"/>
</Relationships>

</file>

<file path=xl/worksheets/_rels/sheet2.xml.rels><?xml version="1.0" encoding="UTF-8"?>

<Relationships xmlns="http://schemas.openxmlformats.org/package/2006/relationships">
  <Relationship Id="rId1" Type="http://schemas.openxmlformats.org/officeDocument/2006/relationships/hyperlink" TargetMode="External" Target="http://www.doe.mass.edu/apa/dart/default.html"/>
  <Relationship Id="rId2" Type="http://schemas.openxmlformats.org/officeDocument/2006/relationships/hyperlink" TargetMode="External" Target="http://www.doe.mass.edu/apa/dart/default.html"/>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profiles.doe.mass.edu/state_report/indicators.aspx"/>
  <Relationship Id="rId7" Type="http://schemas.openxmlformats.org/officeDocument/2006/relationships/hyperlink" TargetMode="External" Target="http://profiles.doe.mass.edu/state_report/indicators.aspx"/>
  <Relationship Id="rId8" Type="http://schemas.openxmlformats.org/officeDocument/2006/relationships/printerSettings" Target="../printerSettings/printerSettings2.bin"/>
</Relationships>

</file>

<file path=xl/worksheets/_rels/sheet3.xml.rels><?xml version="1.0" encoding="UTF-8"?>

<Relationships xmlns="http://schemas.openxmlformats.org/package/2006/relationships">
  <Relationship Id="rId1" Type="http://schemas.openxmlformats.org/officeDocument/2006/relationships/hyperlink" TargetMode="External" Target="https://gateway.edu.state.ma.us/ResourceList"/>
  <Relationship Id="rId10" Type="http://schemas.openxmlformats.org/officeDocument/2006/relationships/hyperlink" TargetMode="External" Target="https://gateway.edu.state.ma.us/ResourceList"/>
  <Relationship Id="rId11" Type="http://schemas.openxmlformats.org/officeDocument/2006/relationships/hyperlink" TargetMode="External" Target="https://gateway.edu.state.ma.us/ResourceList"/>
  <Relationship Id="rId12" Type="http://schemas.openxmlformats.org/officeDocument/2006/relationships/printerSettings" Target="../printerSettings/printerSettings3.bin"/>
  <Relationship Id="rId2" Type="http://schemas.openxmlformats.org/officeDocument/2006/relationships/hyperlink" TargetMode="External" Target="https://gateway.edu.state.ma.us/ResourceList"/>
  <Relationship Id="rId3" Type="http://schemas.openxmlformats.org/officeDocument/2006/relationships/hyperlink" TargetMode="External" Target="https://gateway.edu.state.ma.us/ResourceList"/>
  <Relationship Id="rId4" Type="http://schemas.openxmlformats.org/officeDocument/2006/relationships/hyperlink" TargetMode="External" Target="https://gateway.edu.state.ma.us/ResourceList"/>
  <Relationship Id="rId5" Type="http://schemas.openxmlformats.org/officeDocument/2006/relationships/hyperlink" TargetMode="External" Target="https://gateway.edu.state.ma.us/ResourceList"/>
  <Relationship Id="rId6" Type="http://schemas.openxmlformats.org/officeDocument/2006/relationships/hyperlink" TargetMode="External" Target="https://gateway.edu.state.ma.us/ResourceList"/>
  <Relationship Id="rId7" Type="http://schemas.openxmlformats.org/officeDocument/2006/relationships/hyperlink" TargetMode="External" Target="https://gateway.edu.state.ma.us/ResourceList"/>
  <Relationship Id="rId8" Type="http://schemas.openxmlformats.org/officeDocument/2006/relationships/hyperlink" TargetMode="External" Target="https://gateway.edu.state.ma.us/ResourceList"/>
  <Relationship Id="rId9" Type="http://schemas.openxmlformats.org/officeDocument/2006/relationships/hyperlink" TargetMode="External" Target="https://gateway.edu.state.ma.us/ResourceList"/>
</Relationships>

</file>

<file path=xl/worksheets/_rels/sheet4.xml.rels><?xml version="1.0" encoding="UTF-8"?>

<Relationships xmlns="http://schemas.openxmlformats.org/package/2006/relationships">
  <Relationship Id="rId1" Type="http://schemas.openxmlformats.org/officeDocument/2006/relationships/hyperlink" TargetMode="External" Target="http://www.doe.mass.edu/apa/dart/default.html"/>
  <Relationship Id="rId10" Type="http://schemas.openxmlformats.org/officeDocument/2006/relationships/hyperlink" TargetMode="External" Target="https://www.yourplanforcollege.org/Home/index.html"/>
  <Relationship Id="rId100" Type="http://schemas.openxmlformats.org/officeDocument/2006/relationships/hyperlink" TargetMode="External" Target="http://www.gallupstudentpoll.com/home.aspx"/>
  <Relationship Id="rId101" Type="http://schemas.openxmlformats.org/officeDocument/2006/relationships/hyperlink" TargetMode="External" Target="http://www.gallupstudentpoll.com/home.aspx"/>
  <Relationship Id="rId102" Type="http://schemas.openxmlformats.org/officeDocument/2006/relationships/hyperlink" TargetMode="External" Target="http://www.doe.mass.edu/apa/dart/student.html"/>
  <Relationship Id="rId103" Type="http://schemas.openxmlformats.org/officeDocument/2006/relationships/hyperlink" TargetMode="External" Target="http://www.doe.mass.edu/apa/ucd/walk/"/>
  <Relationship Id="rId104" Type="http://schemas.openxmlformats.org/officeDocument/2006/relationships/hyperlink" TargetMode="External" Target="https://dibels.uoregon.edu/"/>
  <Relationship Id="rId105" Type="http://schemas.openxmlformats.org/officeDocument/2006/relationships/hyperlink" TargetMode="External" Target="http://www.pearsonassessments.com/HAIWEB/Cultures/en-us/Productdetail.htm?Pid=GRADE"/>
  <Relationship Id="rId106" Type="http://schemas.openxmlformats.org/officeDocument/2006/relationships/hyperlink" TargetMode="External" Target="http://www.pearsonassessments.com/HAIWEB/Cultures/en-us/Productdetail.htm?Pid=GRADE"/>
  <Relationship Id="rId107" Type="http://schemas.openxmlformats.org/officeDocument/2006/relationships/hyperlink" TargetMode="External" Target="http://www.pearsonschool.com/index.cfm?locator=PSZ4Z4&amp;PMDBSUBCATEGORYID=&amp;PMDBSITEID=2781&amp;PMDBSUBSOLUTIONID=&amp;PMDBSOLUTIONID=&amp;PMDBSUBJECTAREAID=&amp;PMDBCATEGORYID=&amp;PMDbProgramID=23661"/>
  <Relationship Id="rId108" Type="http://schemas.openxmlformats.org/officeDocument/2006/relationships/printerSettings" Target="../printerSettings/printerSettings4.bin"/>
  <Relationship Id="rId11" Type="http://schemas.openxmlformats.org/officeDocument/2006/relationships/hyperlink" TargetMode="External" Target="http://www.doe.mass.edu/apa/dart/default.html"/>
  <Relationship Id="rId12" Type="http://schemas.openxmlformats.org/officeDocument/2006/relationships/hyperlink" TargetMode="External" Target="http://www.doe.mass.edu/apa/dart/default.html"/>
  <Relationship Id="rId13" Type="http://schemas.openxmlformats.org/officeDocument/2006/relationships/hyperlink" TargetMode="External" Target="http://profiles.doe.mass.edu/state_report/ap.aspx"/>
  <Relationship Id="rId14" Type="http://schemas.openxmlformats.org/officeDocument/2006/relationships/hyperlink" TargetMode="External" Target="http://www.doe.mass.edu/ccr/alignment/"/>
  <Relationship Id="rId15" Type="http://schemas.openxmlformats.org/officeDocument/2006/relationships/hyperlink" TargetMode="External" Target="http://profiles.doe.mass.edu/state_report/ap.aspx"/>
  <Relationship Id="rId16" Type="http://schemas.openxmlformats.org/officeDocument/2006/relationships/hyperlink" TargetMode="External" Target="http://profiles.doe.mass.edu/state_report/ap.aspx"/>
  <Relationship Id="rId17" Type="http://schemas.openxmlformats.org/officeDocument/2006/relationships/hyperlink" TargetMode="External" Target="http://profiles.doe.mass.edu/state_report/gradsattendingcollege.aspx"/>
  <Relationship Id="rId18" Type="http://schemas.openxmlformats.org/officeDocument/2006/relationships/hyperlink" TargetMode="External" Target="http://www.collegeboard.org/"/>
  <Relationship Id="rId19" Type="http://schemas.openxmlformats.org/officeDocument/2006/relationships/hyperlink" TargetMode="External" Target="http://www.doe.mass.edu/apa/dart/student.html"/>
  <Relationship Id="rId2" Type="http://schemas.openxmlformats.org/officeDocument/2006/relationships/hyperlink" TargetMode="External" Target="http://www.p21.org/"/>
  <Relationship Id="rId20" Type="http://schemas.openxmlformats.org/officeDocument/2006/relationships/hyperlink" TargetMode="External" Target="http://www.doe.mass.edu/apa/dart/student.html"/>
  <Relationship Id="rId21" Type="http://schemas.openxmlformats.org/officeDocument/2006/relationships/hyperlink" TargetMode="External" Target="http://www.doe.mass.edu/apa/dart/student.html"/>
  <Relationship Id="rId22" Type="http://schemas.openxmlformats.org/officeDocument/2006/relationships/hyperlink" TargetMode="External" Target="http://www.doe.mass.edu/apa/dart/student.html"/>
  <Relationship Id="rId23" Type="http://schemas.openxmlformats.org/officeDocument/2006/relationships/hyperlink" TargetMode="External" Target="http://www.doe.mass.edu/apa/dart/student.html"/>
  <Relationship Id="rId24" Type="http://schemas.openxmlformats.org/officeDocument/2006/relationships/hyperlink" TargetMode="External" Target="http://www.doe.mass.edu/apa/dart/student.html"/>
  <Relationship Id="rId25" Type="http://schemas.openxmlformats.org/officeDocument/2006/relationships/hyperlink" TargetMode="External" Target="http://www.doe.mass.edu/apa/dart/student.html"/>
  <Relationship Id="rId26" Type="http://schemas.openxmlformats.org/officeDocument/2006/relationships/hyperlink" TargetMode="External" Target="http://www.doe.mass.edu/apa/dart/student.html"/>
  <Relationship Id="rId27" Type="http://schemas.openxmlformats.org/officeDocument/2006/relationships/hyperlink" TargetMode="External" Target="http://safesupportiveschools.ed.gov/index.php?id=01"/>
  <Relationship Id="rId28" Type="http://schemas.openxmlformats.org/officeDocument/2006/relationships/hyperlink" TargetMode="External" Target="http://www.schoolclimate.org/"/>
  <Relationship Id="rId29" Type="http://schemas.openxmlformats.org/officeDocument/2006/relationships/hyperlink" TargetMode="External" Target="http://www.tolerance.org/activity/examining-your-schools-climate"/>
  <Relationship Id="rId3" Type="http://schemas.openxmlformats.org/officeDocument/2006/relationships/hyperlink" TargetMode="External" Target="http://www.p21.org/"/>
  <Relationship Id="rId30" Type="http://schemas.openxmlformats.org/officeDocument/2006/relationships/hyperlink" TargetMode="External" Target="http://safesupportiveschools.ed.gov/index.php?id=01"/>
  <Relationship Id="rId31" Type="http://schemas.openxmlformats.org/officeDocument/2006/relationships/hyperlink" TargetMode="External" Target="http://www.schoolclimate.org/"/>
  <Relationship Id="rId32" Type="http://schemas.openxmlformats.org/officeDocument/2006/relationships/hyperlink" TargetMode="External" Target="http://www.tolerance.org/activity/examining-your-schools-climate"/>
  <Relationship Id="rId33" Type="http://schemas.openxmlformats.org/officeDocument/2006/relationships/hyperlink" TargetMode="External" Target="http://safesupportiveschools.ed.gov/index.php?id=01"/>
  <Relationship Id="rId34" Type="http://schemas.openxmlformats.org/officeDocument/2006/relationships/hyperlink" TargetMode="External" Target="http://www.schoolclimate.org/"/>
  <Relationship Id="rId35" Type="http://schemas.openxmlformats.org/officeDocument/2006/relationships/hyperlink" TargetMode="External" Target="http://www.tolerance.org/activity/examining-your-schools-climate"/>
  <Relationship Id="rId36" Type="http://schemas.openxmlformats.org/officeDocument/2006/relationships/hyperlink" TargetMode="External" Target="http://safesupportiveschools.ed.gov/index.php?id=01"/>
  <Relationship Id="rId37" Type="http://schemas.openxmlformats.org/officeDocument/2006/relationships/hyperlink" TargetMode="External" Target="http://www.schoolclimate.org/"/>
  <Relationship Id="rId38" Type="http://schemas.openxmlformats.org/officeDocument/2006/relationships/hyperlink" TargetMode="External" Target="http://www.tolerance.org/activity/examining-your-schools-climate"/>
  <Relationship Id="rId39" Type="http://schemas.openxmlformats.org/officeDocument/2006/relationships/hyperlink" TargetMode="External" Target="http://safesupportiveschools.ed.gov/index.php?id=01"/>
  <Relationship Id="rId4" Type="http://schemas.openxmlformats.org/officeDocument/2006/relationships/hyperlink" TargetMode="External" Target="http://www.p21.org/"/>
  <Relationship Id="rId40" Type="http://schemas.openxmlformats.org/officeDocument/2006/relationships/hyperlink" TargetMode="External" Target="http://www.schoolclimate.org/"/>
  <Relationship Id="rId41" Type="http://schemas.openxmlformats.org/officeDocument/2006/relationships/hyperlink" TargetMode="External" Target="http://www.tolerance.org/activity/examining-your-schools-climate"/>
  <Relationship Id="rId42" Type="http://schemas.openxmlformats.org/officeDocument/2006/relationships/hyperlink" TargetMode="External" Target="http://safesupportiveschools.ed.gov/index.php?id=01"/>
  <Relationship Id="rId43" Type="http://schemas.openxmlformats.org/officeDocument/2006/relationships/hyperlink" TargetMode="External" Target="http://www.schoolclimate.org/"/>
  <Relationship Id="rId44" Type="http://schemas.openxmlformats.org/officeDocument/2006/relationships/hyperlink" TargetMode="External" Target="http://www.tolerance.org/activity/examining-your-schools-climate"/>
  <Relationship Id="rId45" Type="http://schemas.openxmlformats.org/officeDocument/2006/relationships/hyperlink" TargetMode="External" Target="http://safesupportiveschools.ed.gov/index.php?id=01"/>
  <Relationship Id="rId46" Type="http://schemas.openxmlformats.org/officeDocument/2006/relationships/hyperlink" TargetMode="External" Target="http://www.schoolclimate.org/"/>
  <Relationship Id="rId47" Type="http://schemas.openxmlformats.org/officeDocument/2006/relationships/hyperlink" TargetMode="External" Target="http://www.tolerance.org/activity/examining-your-schools-climate"/>
  <Relationship Id="rId48" Type="http://schemas.openxmlformats.org/officeDocument/2006/relationships/hyperlink" TargetMode="External" Target="http://safesupportiveschools.ed.gov/index.php?id=01"/>
  <Relationship Id="rId49" Type="http://schemas.openxmlformats.org/officeDocument/2006/relationships/hyperlink" TargetMode="External" Target="http://www.schoolclimate.org/"/>
  <Relationship Id="rId5" Type="http://schemas.openxmlformats.org/officeDocument/2006/relationships/hyperlink" TargetMode="External" Target="http://profiles.doe.mass.edu/state_report/mcas.aspx"/>
  <Relationship Id="rId50" Type="http://schemas.openxmlformats.org/officeDocument/2006/relationships/hyperlink" TargetMode="External" Target="http://www.tolerance.org/activity/examining-your-schools-climate"/>
  <Relationship Id="rId51" Type="http://schemas.openxmlformats.org/officeDocument/2006/relationships/hyperlink" TargetMode="External" Target="http://safesupportiveschools.ed.gov/index.php?id=01"/>
  <Relationship Id="rId52" Type="http://schemas.openxmlformats.org/officeDocument/2006/relationships/hyperlink" TargetMode="External" Target="http://www.schoolclimate.org/"/>
  <Relationship Id="rId53" Type="http://schemas.openxmlformats.org/officeDocument/2006/relationships/hyperlink" TargetMode="External" Target="http://www.tolerance.org/activity/examining-your-schools-climate"/>
  <Relationship Id="rId54" Type="http://schemas.openxmlformats.org/officeDocument/2006/relationships/hyperlink" TargetMode="External" Target="http://safesupportiveschools.ed.gov/index.php?id=01"/>
  <Relationship Id="rId55" Type="http://schemas.openxmlformats.org/officeDocument/2006/relationships/hyperlink" TargetMode="External" Target="http://www.schoolclimate.org/"/>
  <Relationship Id="rId56" Type="http://schemas.openxmlformats.org/officeDocument/2006/relationships/hyperlink" TargetMode="External" Target="http://www.tolerance.org/activity/examining-your-schools-climate"/>
  <Relationship Id="rId57" Type="http://schemas.openxmlformats.org/officeDocument/2006/relationships/hyperlink" TargetMode="External" Target="http://safesupportiveschools.ed.gov/index.php?id=01"/>
  <Relationship Id="rId58" Type="http://schemas.openxmlformats.org/officeDocument/2006/relationships/hyperlink" TargetMode="External" Target="http://www.schoolclimate.org/"/>
  <Relationship Id="rId59" Type="http://schemas.openxmlformats.org/officeDocument/2006/relationships/hyperlink" TargetMode="External" Target="http://www.tolerance.org/activity/examining-your-schools-climate"/>
  <Relationship Id="rId6" Type="http://schemas.openxmlformats.org/officeDocument/2006/relationships/hyperlink" TargetMode="External" Target="http://www.doe.mass.edu/apa/dart/default.html"/>
  <Relationship Id="rId60" Type="http://schemas.openxmlformats.org/officeDocument/2006/relationships/hyperlink" TargetMode="External" Target="http://safesupportiveschools.ed.gov/index.php?id=01"/>
  <Relationship Id="rId61" Type="http://schemas.openxmlformats.org/officeDocument/2006/relationships/hyperlink" TargetMode="External" Target="http://www.schoolclimate.org/"/>
  <Relationship Id="rId62" Type="http://schemas.openxmlformats.org/officeDocument/2006/relationships/hyperlink" TargetMode="External" Target="http://www.tolerance.org/activity/examining-your-schools-climate"/>
  <Relationship Id="rId63" Type="http://schemas.openxmlformats.org/officeDocument/2006/relationships/hyperlink" TargetMode="External" Target="http://safesupportiveschools.ed.gov/index.php?id=01"/>
  <Relationship Id="rId64" Type="http://schemas.openxmlformats.org/officeDocument/2006/relationships/hyperlink" TargetMode="External" Target="http://www.schoolclimate.org/"/>
  <Relationship Id="rId65" Type="http://schemas.openxmlformats.org/officeDocument/2006/relationships/hyperlink" TargetMode="External" Target="http://www.tolerance.org/activity/examining-your-schools-climate"/>
  <Relationship Id="rId66" Type="http://schemas.openxmlformats.org/officeDocument/2006/relationships/hyperlink" TargetMode="External" Target="http://safesupportiveschools.ed.gov/index.php?id=01"/>
  <Relationship Id="rId67" Type="http://schemas.openxmlformats.org/officeDocument/2006/relationships/hyperlink" TargetMode="External" Target="http://www.schoolclimate.org/"/>
  <Relationship Id="rId68" Type="http://schemas.openxmlformats.org/officeDocument/2006/relationships/hyperlink" TargetMode="External" Target="http://www.tolerance.org/activity/examining-your-schools-climate"/>
  <Relationship Id="rId69" Type="http://schemas.openxmlformats.org/officeDocument/2006/relationships/hyperlink" TargetMode="External" Target="http://safesupportiveschools.ed.gov/index.php?id=01"/>
  <Relationship Id="rId7" Type="http://schemas.openxmlformats.org/officeDocument/2006/relationships/hyperlink" TargetMode="External" Target="http://www.doe.mass.edu/apa/dart/default.html"/>
  <Relationship Id="rId70" Type="http://schemas.openxmlformats.org/officeDocument/2006/relationships/hyperlink" TargetMode="External" Target="http://www.schoolclimate.org/"/>
  <Relationship Id="rId71" Type="http://schemas.openxmlformats.org/officeDocument/2006/relationships/hyperlink" TargetMode="External" Target="http://www.tolerance.org/activity/examining-your-schools-climate"/>
  <Relationship Id="rId72" Type="http://schemas.openxmlformats.org/officeDocument/2006/relationships/hyperlink" TargetMode="External" Target="http://safesupportiveschools.ed.gov/index.php?id=01"/>
  <Relationship Id="rId73" Type="http://schemas.openxmlformats.org/officeDocument/2006/relationships/hyperlink" TargetMode="External" Target="http://www.schoolclimate.org/"/>
  <Relationship Id="rId74" Type="http://schemas.openxmlformats.org/officeDocument/2006/relationships/hyperlink" TargetMode="External" Target="http://www.tolerance.org/activity/examining-your-schools-climate"/>
  <Relationship Id="rId75" Type="http://schemas.openxmlformats.org/officeDocument/2006/relationships/hyperlink" TargetMode="External" Target="http://safesupportiveschools.ed.gov/index.php?id=01"/>
  <Relationship Id="rId76" Type="http://schemas.openxmlformats.org/officeDocument/2006/relationships/hyperlink" TargetMode="External" Target="http://www.schoolclimate.org/"/>
  <Relationship Id="rId77" Type="http://schemas.openxmlformats.org/officeDocument/2006/relationships/hyperlink" TargetMode="External" Target="http://www.tolerance.org/activity/examining-your-schools-climate"/>
  <Relationship Id="rId78" Type="http://schemas.openxmlformats.org/officeDocument/2006/relationships/hyperlink" TargetMode="External" Target="http://safesupportiveschools.ed.gov/index.php?id=01"/>
  <Relationship Id="rId79" Type="http://schemas.openxmlformats.org/officeDocument/2006/relationships/hyperlink" TargetMode="External" Target="http://www.schoolclimate.org/"/>
  <Relationship Id="rId8" Type="http://schemas.openxmlformats.org/officeDocument/2006/relationships/hyperlink" TargetMode="External" Target="http://www.doe.mass.edu/connect/"/>
  <Relationship Id="rId80" Type="http://schemas.openxmlformats.org/officeDocument/2006/relationships/hyperlink" TargetMode="External" Target="http://www.tolerance.org/activity/examining-your-schools-climate"/>
  <Relationship Id="rId81" Type="http://schemas.openxmlformats.org/officeDocument/2006/relationships/hyperlink" TargetMode="External" Target="http://safesupportiveschools.ed.gov/index.php?id=01"/>
  <Relationship Id="rId82" Type="http://schemas.openxmlformats.org/officeDocument/2006/relationships/hyperlink" TargetMode="External" Target="http://www.schoolclimate.org/"/>
  <Relationship Id="rId83" Type="http://schemas.openxmlformats.org/officeDocument/2006/relationships/hyperlink" TargetMode="External" Target="http://www.tolerance.org/activity/examining-your-schools-climate"/>
  <Relationship Id="rId84" Type="http://schemas.openxmlformats.org/officeDocument/2006/relationships/hyperlink" TargetMode="External" Target="http://safesupportiveschools.ed.gov/index.php?id=01"/>
  <Relationship Id="rId85" Type="http://schemas.openxmlformats.org/officeDocument/2006/relationships/hyperlink" TargetMode="External" Target="http://www.schoolclimate.org/"/>
  <Relationship Id="rId86" Type="http://schemas.openxmlformats.org/officeDocument/2006/relationships/hyperlink" TargetMode="External" Target="http://www.tolerance.org/activity/examining-your-schools-climate"/>
  <Relationship Id="rId87" Type="http://schemas.openxmlformats.org/officeDocument/2006/relationships/hyperlink" TargetMode="External" Target="http://safesupportiveschools.ed.gov/index.php?id=01"/>
  <Relationship Id="rId88" Type="http://schemas.openxmlformats.org/officeDocument/2006/relationships/hyperlink" TargetMode="External" Target="http://www.schoolclimate.org/"/>
  <Relationship Id="rId89" Type="http://schemas.openxmlformats.org/officeDocument/2006/relationships/hyperlink" TargetMode="External" Target="http://www.tolerance.org/activity/examining-your-schools-climate"/>
  <Relationship Id="rId9" Type="http://schemas.openxmlformats.org/officeDocument/2006/relationships/hyperlink" TargetMode="External" Target="http://www.skillslibrary.com/wbl.htm"/>
  <Relationship Id="rId90" Type="http://schemas.openxmlformats.org/officeDocument/2006/relationships/hyperlink" TargetMode="External" Target="http://safesupportiveschools.ed.gov/index.php?id=01"/>
  <Relationship Id="rId91" Type="http://schemas.openxmlformats.org/officeDocument/2006/relationships/hyperlink" TargetMode="External" Target="http://www.schoolclimate.org/"/>
  <Relationship Id="rId92" Type="http://schemas.openxmlformats.org/officeDocument/2006/relationships/hyperlink" TargetMode="External" Target="http://www.tolerance.org/activity/examining-your-schools-climate"/>
  <Relationship Id="rId93" Type="http://schemas.openxmlformats.org/officeDocument/2006/relationships/hyperlink" TargetMode="External" Target="http://safesupportiveschools.ed.gov/index.php?id=01"/>
  <Relationship Id="rId94" Type="http://schemas.openxmlformats.org/officeDocument/2006/relationships/hyperlink" TargetMode="External" Target="http://www.schoolclimate.org/"/>
  <Relationship Id="rId95" Type="http://schemas.openxmlformats.org/officeDocument/2006/relationships/hyperlink" TargetMode="External" Target="http://www.tolerance.org/activity/examining-your-schools-climate"/>
  <Relationship Id="rId96" Type="http://schemas.openxmlformats.org/officeDocument/2006/relationships/hyperlink" TargetMode="External" Target="http://safesupportiveschools.ed.gov/index.php?id=01"/>
  <Relationship Id="rId97" Type="http://schemas.openxmlformats.org/officeDocument/2006/relationships/hyperlink" TargetMode="External" Target="http://www.schoolclimate.org/"/>
  <Relationship Id="rId98" Type="http://schemas.openxmlformats.org/officeDocument/2006/relationships/hyperlink" TargetMode="External" Target="http://www.tolerance.org/activity/examining-your-schools-climate"/>
  <Relationship Id="rId99" Type="http://schemas.openxmlformats.org/officeDocument/2006/relationships/hyperlink" TargetMode="External" Target="http://www.gallupstudentpoll.com/home.aspx"/>
</Relationships>

</file>

<file path=xl/worksheets/sheet1.xml><?xml version="1.0" encoding="utf-8"?>
<worksheet xmlns="http://schemas.openxmlformats.org/spreadsheetml/2006/main" xmlns:r="http://schemas.openxmlformats.org/officeDocument/2006/relationships">
  <sheetPr codeName="Sheet2">
    <pageSetUpPr fitToPage="1"/>
  </sheetPr>
  <dimension ref="B1:E6"/>
  <sheetViews>
    <sheetView zoomScaleNormal="100" workbookViewId="0">
      <pane ySplit="4" topLeftCell="A5" activePane="bottomLeft" state="frozen"/>
      <selection activeCell="I2" sqref="I2"/>
      <selection pane="bottomLeft" activeCell="E3" sqref="E3"/>
    </sheetView>
  </sheetViews>
  <sheetFormatPr defaultColWidth="9.140625" defaultRowHeight="12.75"/>
  <cols>
    <col min="1" max="2" width="2.7109375" style="1" customWidth="1"/>
    <col min="3" max="4" width="53.7109375" style="1" customWidth="1"/>
    <col min="5" max="5" width="2.7109375" style="1" customWidth="1"/>
    <col min="6" max="16384" width="9.140625" style="1"/>
  </cols>
  <sheetData>
    <row r="1" spans="2:5" ht="15">
      <c r="B1" s="120"/>
      <c r="C1" s="285" t="s">
        <v>343</v>
      </c>
      <c r="D1" s="285"/>
      <c r="E1" s="124"/>
    </row>
    <row r="2" spans="2:5" s="16" customFormat="1" ht="14.45" customHeight="1">
      <c r="B2" s="121"/>
      <c r="C2" s="128"/>
      <c r="D2" s="128"/>
      <c r="E2" s="125"/>
    </row>
    <row r="3" spans="2:5" ht="14.45" customHeight="1">
      <c r="B3" s="121"/>
      <c r="C3" s="286" t="s">
        <v>148</v>
      </c>
      <c r="D3" s="286"/>
      <c r="E3" s="127" t="str">
        <f>LEFT(RIGHT(C3,9),8)</f>
        <v>02010115</v>
      </c>
    </row>
    <row r="4" spans="2:5" ht="14.45" customHeight="1">
      <c r="B4" s="122"/>
      <c r="C4" s="123"/>
      <c r="D4" s="123"/>
      <c r="E4" s="126"/>
    </row>
    <row r="5" spans="2:5">
      <c r="B5" s="284"/>
      <c r="C5" s="284"/>
    </row>
    <row r="6" spans="2:5">
      <c r="B6" s="287" t="s">
        <v>2</v>
      </c>
      <c r="C6" s="287"/>
      <c r="D6" s="287"/>
      <c r="E6" s="287"/>
    </row>
  </sheetData>
  <sheetProtection password="CC18" sheet="1" objects="1" scenarios="1" selectLockedCells="1"/>
  <mergeCells count="4">
    <mergeCell ref="B5:C5"/>
    <mergeCell ref="C1:D1"/>
    <mergeCell ref="C3:D3"/>
    <mergeCell ref="B6:E6"/>
  </mergeCells>
  <pageMargins left="0.25" right="0.25" top="0.75" bottom="0.75" header="0.3" footer="0.3"/>
  <pageSetup scale="86"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B1:M69"/>
  <sheetViews>
    <sheetView tabSelected="1" zoomScaleNormal="100" zoomScaleSheetLayoutView="70" workbookViewId="0">
      <pane ySplit="8" topLeftCell="A14" activePane="bottomLeft" state="frozen"/>
      <selection activeCell="I2" sqref="I2"/>
      <selection pane="bottomLeft" activeCell="B21" sqref="B21"/>
    </sheetView>
  </sheetViews>
  <sheetFormatPr defaultColWidth="9.140625" defaultRowHeight="12.75"/>
  <cols>
    <col min="1" max="1" width="2.7109375" style="155" customWidth="1"/>
    <col min="2" max="2" width="58.140625" style="155" customWidth="1"/>
    <col min="3" max="3" width="8.42578125" style="155" customWidth="1"/>
    <col min="4" max="4" width="8.42578125" style="155" hidden="1" customWidth="1"/>
    <col min="5" max="5" width="8.42578125" style="155" customWidth="1"/>
    <col min="6" max="6" width="8.42578125" style="155" hidden="1" customWidth="1"/>
    <col min="7" max="7" width="8.42578125" style="155" customWidth="1"/>
    <col min="8" max="8" width="8.42578125" style="155" hidden="1" customWidth="1"/>
    <col min="9" max="12" width="8.42578125" style="155" customWidth="1"/>
    <col min="13" max="13" width="45.85546875" style="155" customWidth="1"/>
    <col min="14" max="16384" width="9.140625" style="155"/>
  </cols>
  <sheetData>
    <row r="1" spans="2:13" s="151" customFormat="1" ht="15.75">
      <c r="B1" s="148" t="s">
        <v>344</v>
      </c>
      <c r="C1" s="149"/>
      <c r="D1" s="149"/>
      <c r="E1" s="149"/>
      <c r="F1" s="149"/>
      <c r="G1" s="149"/>
      <c r="H1" s="149"/>
      <c r="I1" s="149"/>
      <c r="J1" s="149"/>
      <c r="K1" s="149"/>
      <c r="L1" s="149"/>
      <c r="M1" s="150" t="s">
        <v>345</v>
      </c>
    </row>
    <row r="2" spans="2:13" ht="15" customHeight="1">
      <c r="B2" s="346" t="s">
        <v>24</v>
      </c>
      <c r="C2" s="152"/>
      <c r="D2" s="152"/>
      <c r="E2" s="152"/>
      <c r="F2" s="153"/>
      <c r="G2" s="153"/>
      <c r="H2" s="153"/>
      <c r="I2" s="153"/>
      <c r="J2" s="153"/>
      <c r="K2" s="152"/>
      <c r="L2" s="152"/>
      <c r="M2" s="154"/>
    </row>
    <row r="3" spans="2:13" ht="15">
      <c r="B3" s="346"/>
      <c r="C3" s="153"/>
      <c r="D3" s="152"/>
      <c r="E3" s="152"/>
      <c r="F3" s="153"/>
      <c r="G3" s="153"/>
      <c r="H3" s="153"/>
      <c r="I3" s="153"/>
      <c r="J3" s="153"/>
      <c r="K3" s="153"/>
      <c r="L3" s="153"/>
      <c r="M3" s="153"/>
    </row>
    <row r="4" spans="2:13">
      <c r="B4" s="351" t="s">
        <v>346</v>
      </c>
      <c r="C4" s="351"/>
      <c r="D4" s="351"/>
      <c r="E4" s="351"/>
      <c r="F4" s="351"/>
      <c r="G4" s="351"/>
      <c r="H4" s="351"/>
      <c r="I4" s="351"/>
      <c r="J4" s="351"/>
      <c r="K4" s="351"/>
      <c r="L4" s="156"/>
      <c r="M4" s="157"/>
    </row>
    <row r="5" spans="2:13" ht="58.5" customHeight="1">
      <c r="B5" s="355" t="s">
        <v>347</v>
      </c>
      <c r="C5" s="355"/>
      <c r="D5" s="355"/>
      <c r="E5" s="355"/>
      <c r="F5" s="355"/>
      <c r="G5" s="355"/>
      <c r="H5" s="355"/>
      <c r="I5" s="355"/>
      <c r="J5" s="355"/>
      <c r="K5" s="355"/>
      <c r="L5" s="355"/>
      <c r="M5" s="355"/>
    </row>
    <row r="6" spans="2:13" ht="5.0999999999999996" customHeight="1">
      <c r="C6" s="158"/>
      <c r="D6" s="158"/>
      <c r="E6" s="158"/>
      <c r="F6" s="158"/>
      <c r="G6" s="158"/>
      <c r="H6" s="158"/>
      <c r="I6" s="158"/>
      <c r="J6" s="158"/>
      <c r="K6" s="158"/>
      <c r="L6" s="158"/>
      <c r="M6" s="158"/>
    </row>
    <row r="7" spans="2:13" s="159" customFormat="1" ht="35.25" customHeight="1">
      <c r="B7" s="347" t="s">
        <v>0</v>
      </c>
      <c r="C7" s="352" t="s">
        <v>1</v>
      </c>
      <c r="D7" s="353"/>
      <c r="E7" s="353"/>
      <c r="F7" s="353"/>
      <c r="G7" s="353"/>
      <c r="H7" s="353"/>
      <c r="I7" s="353"/>
      <c r="J7" s="353"/>
      <c r="K7" s="353"/>
      <c r="L7" s="354"/>
      <c r="M7" s="349" t="s">
        <v>321</v>
      </c>
    </row>
    <row r="8" spans="2:13" s="159" customFormat="1" ht="35.25" customHeight="1">
      <c r="B8" s="348"/>
      <c r="C8" s="160" t="s">
        <v>137</v>
      </c>
      <c r="D8" s="160" t="s">
        <v>18</v>
      </c>
      <c r="E8" s="160" t="s">
        <v>138</v>
      </c>
      <c r="F8" s="160" t="s">
        <v>19</v>
      </c>
      <c r="G8" s="160" t="s">
        <v>142</v>
      </c>
      <c r="H8" s="160" t="s">
        <v>20</v>
      </c>
      <c r="I8" s="160" t="s">
        <v>325</v>
      </c>
      <c r="J8" s="160" t="s">
        <v>21</v>
      </c>
      <c r="K8" s="160" t="s">
        <v>22</v>
      </c>
      <c r="L8" s="160" t="s">
        <v>278</v>
      </c>
      <c r="M8" s="350"/>
    </row>
    <row r="9" spans="2:13" s="159" customFormat="1" ht="16.899999999999999" customHeight="1">
      <c r="B9" s="306" t="s">
        <v>28</v>
      </c>
      <c r="C9" s="307"/>
      <c r="D9" s="307"/>
      <c r="E9" s="307"/>
      <c r="F9" s="307"/>
      <c r="G9" s="307"/>
      <c r="H9" s="307"/>
      <c r="I9" s="307"/>
      <c r="J9" s="307"/>
      <c r="K9" s="307"/>
      <c r="L9" s="307"/>
      <c r="M9" s="308"/>
    </row>
    <row r="10" spans="2:13" s="159" customFormat="1" ht="69" customHeight="1">
      <c r="B10" s="161" t="s">
        <v>33</v>
      </c>
      <c r="C10" s="297">
        <v>0.94499999999999995</v>
      </c>
      <c r="D10" s="290"/>
      <c r="E10" s="290">
        <v>0.95199999999999996</v>
      </c>
      <c r="F10" s="290"/>
      <c r="G10" s="290">
        <v>0.95</v>
      </c>
      <c r="H10" s="317">
        <v>0.95299999999999996</v>
      </c>
      <c r="I10" s="162"/>
      <c r="J10" s="317">
        <v>0.95699999999999996</v>
      </c>
      <c r="K10" s="317">
        <v>0.96</v>
      </c>
      <c r="L10" s="313">
        <v>0.96299999999999997</v>
      </c>
      <c r="M10" s="315"/>
    </row>
    <row r="11" spans="2:13" s="159" customFormat="1" ht="15" hidden="1" customHeight="1">
      <c r="B11" s="163" t="s">
        <v>32</v>
      </c>
      <c r="C11" s="305"/>
      <c r="D11" s="291"/>
      <c r="E11" s="291"/>
      <c r="F11" s="291"/>
      <c r="G11" s="291"/>
      <c r="H11" s="318"/>
      <c r="I11" s="164"/>
      <c r="J11" s="318"/>
      <c r="K11" s="318"/>
      <c r="L11" s="314"/>
      <c r="M11" s="316"/>
    </row>
    <row r="12" spans="2:13" s="159" customFormat="1" ht="44.45" customHeight="1">
      <c r="B12" s="165" t="s">
        <v>318</v>
      </c>
      <c r="C12" s="166">
        <v>0.14799999999999999</v>
      </c>
      <c r="D12" s="167"/>
      <c r="E12" s="167">
        <v>0.11</v>
      </c>
      <c r="F12" s="167"/>
      <c r="G12" s="167">
        <v>0.129</v>
      </c>
      <c r="H12" s="168">
        <v>0.107</v>
      </c>
      <c r="I12" s="168"/>
      <c r="J12" s="168">
        <v>8.5999999999999993E-2</v>
      </c>
      <c r="K12" s="168">
        <v>6.4000000000000001E-2</v>
      </c>
      <c r="L12" s="169">
        <v>4.2999999999999997E-2</v>
      </c>
      <c r="M12" s="170" t="s">
        <v>323</v>
      </c>
    </row>
    <row r="13" spans="2:13" s="159" customFormat="1" ht="48.6" customHeight="1">
      <c r="B13" s="165" t="s">
        <v>34</v>
      </c>
      <c r="C13" s="171" t="s">
        <v>322</v>
      </c>
      <c r="D13" s="172"/>
      <c r="E13" s="172" t="s">
        <v>322</v>
      </c>
      <c r="F13" s="172"/>
      <c r="G13" s="172" t="s">
        <v>322</v>
      </c>
      <c r="H13" s="173"/>
      <c r="I13" s="173"/>
      <c r="J13" s="173"/>
      <c r="K13" s="173"/>
      <c r="L13" s="174"/>
      <c r="M13" s="175" t="s">
        <v>324</v>
      </c>
    </row>
    <row r="14" spans="2:13" s="159" customFormat="1" ht="46.15" customHeight="1">
      <c r="B14" s="176" t="s">
        <v>35</v>
      </c>
      <c r="C14" s="303">
        <v>5.0000000000000001E-3</v>
      </c>
      <c r="D14" s="301"/>
      <c r="E14" s="301">
        <v>1.9E-2</v>
      </c>
      <c r="F14" s="301"/>
      <c r="G14" s="301">
        <v>1.7999999999999999E-2</v>
      </c>
      <c r="H14" s="309">
        <v>1.6E-2</v>
      </c>
      <c r="I14" s="177"/>
      <c r="J14" s="309">
        <v>1.4E-2</v>
      </c>
      <c r="K14" s="309">
        <v>1.2E-2</v>
      </c>
      <c r="L14" s="311">
        <v>8.9999999999999993E-3</v>
      </c>
      <c r="M14" s="315"/>
    </row>
    <row r="15" spans="2:13" s="159" customFormat="1" ht="41.25" hidden="1" customHeight="1">
      <c r="B15" s="178" t="s">
        <v>37</v>
      </c>
      <c r="C15" s="304"/>
      <c r="D15" s="302"/>
      <c r="E15" s="302"/>
      <c r="F15" s="302"/>
      <c r="G15" s="302"/>
      <c r="H15" s="310"/>
      <c r="I15" s="179"/>
      <c r="J15" s="310"/>
      <c r="K15" s="310"/>
      <c r="L15" s="312"/>
      <c r="M15" s="316"/>
    </row>
    <row r="16" spans="2:13" s="159" customFormat="1" ht="41.25" customHeight="1">
      <c r="B16" s="165" t="s">
        <v>36</v>
      </c>
      <c r="C16" s="180">
        <v>0</v>
      </c>
      <c r="D16" s="181"/>
      <c r="E16" s="181">
        <v>0</v>
      </c>
      <c r="F16" s="181"/>
      <c r="G16" s="181">
        <v>8.0000000000000002E-3</v>
      </c>
      <c r="H16" s="182">
        <v>6.0000000000000001E-3</v>
      </c>
      <c r="I16" s="182"/>
      <c r="J16" s="182">
        <v>4.0000000000000001E-3</v>
      </c>
      <c r="K16" s="182">
        <v>2E-3</v>
      </c>
      <c r="L16" s="183">
        <v>0</v>
      </c>
      <c r="M16" s="184"/>
    </row>
    <row r="17" spans="2:13" s="159" customFormat="1" ht="19.899999999999999" customHeight="1">
      <c r="B17" s="306" t="s">
        <v>29</v>
      </c>
      <c r="C17" s="307"/>
      <c r="D17" s="307"/>
      <c r="E17" s="307"/>
      <c r="F17" s="307"/>
      <c r="G17" s="307"/>
      <c r="H17" s="307"/>
      <c r="I17" s="307"/>
      <c r="J17" s="307"/>
      <c r="K17" s="307"/>
      <c r="L17" s="307"/>
      <c r="M17" s="308"/>
    </row>
    <row r="18" spans="2:13" s="159" customFormat="1" ht="41.25" customHeight="1">
      <c r="B18" s="176" t="s">
        <v>38</v>
      </c>
      <c r="C18" s="294">
        <v>1</v>
      </c>
      <c r="D18" s="292"/>
      <c r="E18" s="292">
        <v>7</v>
      </c>
      <c r="F18" s="292"/>
      <c r="G18" s="292">
        <v>7</v>
      </c>
      <c r="H18" s="327">
        <v>6</v>
      </c>
      <c r="I18" s="185"/>
      <c r="J18" s="327">
        <v>5</v>
      </c>
      <c r="K18" s="325">
        <v>4</v>
      </c>
      <c r="L18" s="325">
        <v>3</v>
      </c>
      <c r="M18" s="315"/>
    </row>
    <row r="19" spans="2:13" s="159" customFormat="1" ht="15" hidden="1" customHeight="1">
      <c r="B19" s="163" t="s">
        <v>32</v>
      </c>
      <c r="C19" s="295"/>
      <c r="D19" s="293"/>
      <c r="E19" s="293"/>
      <c r="F19" s="293"/>
      <c r="G19" s="293"/>
      <c r="H19" s="328"/>
      <c r="I19" s="186"/>
      <c r="J19" s="328"/>
      <c r="K19" s="326"/>
      <c r="L19" s="326"/>
      <c r="M19" s="316"/>
    </row>
    <row r="20" spans="2:13" ht="28.9" customHeight="1">
      <c r="B20" s="306" t="s">
        <v>30</v>
      </c>
      <c r="C20" s="307"/>
      <c r="D20" s="307"/>
      <c r="E20" s="307"/>
      <c r="F20" s="307"/>
      <c r="G20" s="307"/>
      <c r="H20" s="307"/>
      <c r="I20" s="307"/>
      <c r="J20" s="307"/>
      <c r="K20" s="307"/>
      <c r="L20" s="307"/>
      <c r="M20" s="308"/>
    </row>
    <row r="21" spans="2:13" s="159" customFormat="1" ht="46.15" customHeight="1">
      <c r="B21" s="187" t="s">
        <v>40</v>
      </c>
      <c r="C21" s="297">
        <v>0.06</v>
      </c>
      <c r="D21" s="290"/>
      <c r="E21" s="290">
        <v>5.1999999999999998E-2</v>
      </c>
      <c r="F21" s="290"/>
      <c r="G21" s="290">
        <v>4.5999999999999999E-2</v>
      </c>
      <c r="H21" s="329">
        <v>0.01</v>
      </c>
      <c r="I21" s="188"/>
      <c r="J21" s="329">
        <v>0.01</v>
      </c>
      <c r="K21" s="329">
        <v>0.01</v>
      </c>
      <c r="L21" s="342">
        <v>0.01</v>
      </c>
      <c r="M21" s="333" t="s">
        <v>326</v>
      </c>
    </row>
    <row r="22" spans="2:13" ht="13.5" hidden="1" customHeight="1">
      <c r="B22" s="189" t="s">
        <v>37</v>
      </c>
      <c r="C22" s="298"/>
      <c r="D22" s="296"/>
      <c r="E22" s="296"/>
      <c r="F22" s="296"/>
      <c r="G22" s="296"/>
      <c r="H22" s="330"/>
      <c r="I22" s="190"/>
      <c r="J22" s="330"/>
      <c r="K22" s="330"/>
      <c r="L22" s="343"/>
      <c r="M22" s="332"/>
    </row>
    <row r="23" spans="2:13" s="192" customFormat="1" ht="114" customHeight="1">
      <c r="B23" s="191" t="s">
        <v>315</v>
      </c>
      <c r="C23" s="299" t="s">
        <v>283</v>
      </c>
      <c r="D23" s="288" t="s">
        <v>283</v>
      </c>
      <c r="E23" s="288" t="s">
        <v>283</v>
      </c>
      <c r="F23" s="288" t="s">
        <v>283</v>
      </c>
      <c r="G23" s="288" t="s">
        <v>283</v>
      </c>
      <c r="H23" s="340" t="s">
        <v>283</v>
      </c>
      <c r="I23" s="133"/>
      <c r="J23" s="323" t="s">
        <v>283</v>
      </c>
      <c r="K23" s="323" t="s">
        <v>283</v>
      </c>
      <c r="L23" s="338" t="s">
        <v>283</v>
      </c>
      <c r="M23" s="344" t="s">
        <v>327</v>
      </c>
    </row>
    <row r="24" spans="2:13" s="192" customFormat="1" ht="15" hidden="1" customHeight="1">
      <c r="B24" s="189" t="s">
        <v>39</v>
      </c>
      <c r="C24" s="300"/>
      <c r="D24" s="289"/>
      <c r="E24" s="289"/>
      <c r="F24" s="289"/>
      <c r="G24" s="289"/>
      <c r="H24" s="341"/>
      <c r="I24" s="134"/>
      <c r="J24" s="324"/>
      <c r="K24" s="324"/>
      <c r="L24" s="339"/>
      <c r="M24" s="345"/>
    </row>
    <row r="25" spans="2:13" s="192" customFormat="1" ht="116.45" hidden="1" customHeight="1">
      <c r="B25" s="193" t="s">
        <v>16</v>
      </c>
      <c r="C25" s="92" t="s">
        <v>283</v>
      </c>
      <c r="D25" s="93" t="s">
        <v>283</v>
      </c>
      <c r="E25" s="93" t="s">
        <v>283</v>
      </c>
      <c r="F25" s="93" t="s">
        <v>283</v>
      </c>
      <c r="G25" s="93" t="s">
        <v>283</v>
      </c>
      <c r="H25" s="78" t="s">
        <v>283</v>
      </c>
      <c r="I25" s="78"/>
      <c r="J25" s="78" t="s">
        <v>283</v>
      </c>
      <c r="K25" s="78" t="s">
        <v>283</v>
      </c>
      <c r="L25" s="94" t="s">
        <v>283</v>
      </c>
      <c r="M25" s="194" t="s">
        <v>327</v>
      </c>
    </row>
    <row r="26" spans="2:13" s="192" customFormat="1" ht="27.75" hidden="1" customHeight="1">
      <c r="B26" s="193" t="s">
        <v>13</v>
      </c>
      <c r="C26" s="138" t="s">
        <v>283</v>
      </c>
      <c r="D26" s="136" t="s">
        <v>283</v>
      </c>
      <c r="E26" s="136" t="s">
        <v>283</v>
      </c>
      <c r="F26" s="136" t="s">
        <v>283</v>
      </c>
      <c r="G26" s="136" t="s">
        <v>283</v>
      </c>
      <c r="H26" s="79" t="s">
        <v>283</v>
      </c>
      <c r="I26" s="79"/>
      <c r="J26" s="79" t="s">
        <v>283</v>
      </c>
      <c r="K26" s="79" t="s">
        <v>283</v>
      </c>
      <c r="L26" s="53" t="s">
        <v>283</v>
      </c>
      <c r="M26" s="194"/>
    </row>
    <row r="27" spans="2:13" s="192" customFormat="1" ht="15" hidden="1" customHeight="1">
      <c r="B27" s="193" t="s">
        <v>15</v>
      </c>
      <c r="C27" s="138" t="s">
        <v>283</v>
      </c>
      <c r="D27" s="136" t="s">
        <v>283</v>
      </c>
      <c r="E27" s="136" t="s">
        <v>283</v>
      </c>
      <c r="F27" s="136" t="s">
        <v>283</v>
      </c>
      <c r="G27" s="136" t="s">
        <v>283</v>
      </c>
      <c r="H27" s="79" t="s">
        <v>283</v>
      </c>
      <c r="I27" s="79"/>
      <c r="J27" s="74" t="s">
        <v>283</v>
      </c>
      <c r="K27" s="74" t="s">
        <v>283</v>
      </c>
      <c r="L27" s="73" t="s">
        <v>283</v>
      </c>
      <c r="M27" s="194"/>
    </row>
    <row r="28" spans="2:13" s="192" customFormat="1" ht="15" hidden="1" customHeight="1">
      <c r="B28" s="193" t="s">
        <v>12</v>
      </c>
      <c r="C28" s="138" t="s">
        <v>283</v>
      </c>
      <c r="D28" s="136" t="s">
        <v>283</v>
      </c>
      <c r="E28" s="136" t="s">
        <v>283</v>
      </c>
      <c r="F28" s="136" t="s">
        <v>283</v>
      </c>
      <c r="G28" s="136" t="s">
        <v>283</v>
      </c>
      <c r="H28" s="79" t="s">
        <v>283</v>
      </c>
      <c r="I28" s="79"/>
      <c r="J28" s="74" t="s">
        <v>283</v>
      </c>
      <c r="K28" s="74" t="s">
        <v>283</v>
      </c>
      <c r="L28" s="73" t="s">
        <v>283</v>
      </c>
      <c r="M28" s="194"/>
    </row>
    <row r="29" spans="2:13" s="192" customFormat="1" ht="15" hidden="1" customHeight="1">
      <c r="B29" s="193" t="s">
        <v>44</v>
      </c>
      <c r="C29" s="138" t="s">
        <v>283</v>
      </c>
      <c r="D29" s="136" t="s">
        <v>283</v>
      </c>
      <c r="E29" s="136" t="s">
        <v>283</v>
      </c>
      <c r="F29" s="136" t="s">
        <v>283</v>
      </c>
      <c r="G29" s="136" t="s">
        <v>283</v>
      </c>
      <c r="H29" s="79" t="s">
        <v>283</v>
      </c>
      <c r="I29" s="79"/>
      <c r="J29" s="74" t="s">
        <v>283</v>
      </c>
      <c r="K29" s="74" t="s">
        <v>283</v>
      </c>
      <c r="L29" s="73" t="s">
        <v>283</v>
      </c>
      <c r="M29" s="194"/>
    </row>
    <row r="30" spans="2:13" s="192" customFormat="1" ht="15" hidden="1" customHeight="1">
      <c r="B30" s="193" t="s">
        <v>45</v>
      </c>
      <c r="C30" s="138" t="s">
        <v>283</v>
      </c>
      <c r="D30" s="136" t="s">
        <v>283</v>
      </c>
      <c r="E30" s="136" t="s">
        <v>283</v>
      </c>
      <c r="F30" s="136" t="s">
        <v>283</v>
      </c>
      <c r="G30" s="136" t="s">
        <v>283</v>
      </c>
      <c r="H30" s="79" t="s">
        <v>283</v>
      </c>
      <c r="I30" s="79"/>
      <c r="J30" s="74" t="s">
        <v>283</v>
      </c>
      <c r="K30" s="74" t="s">
        <v>283</v>
      </c>
      <c r="L30" s="73" t="s">
        <v>283</v>
      </c>
      <c r="M30" s="194"/>
    </row>
    <row r="31" spans="2:13" s="192" customFormat="1" ht="15" hidden="1" customHeight="1">
      <c r="B31" s="193" t="s">
        <v>127</v>
      </c>
      <c r="C31" s="138" t="s">
        <v>283</v>
      </c>
      <c r="D31" s="136" t="s">
        <v>283</v>
      </c>
      <c r="E31" s="136" t="s">
        <v>283</v>
      </c>
      <c r="F31" s="136" t="s">
        <v>283</v>
      </c>
      <c r="G31" s="136" t="s">
        <v>283</v>
      </c>
      <c r="H31" s="79" t="s">
        <v>283</v>
      </c>
      <c r="I31" s="79"/>
      <c r="J31" s="74" t="s">
        <v>283</v>
      </c>
      <c r="K31" s="74" t="s">
        <v>283</v>
      </c>
      <c r="L31" s="73" t="s">
        <v>283</v>
      </c>
      <c r="M31" s="194"/>
    </row>
    <row r="32" spans="2:13" s="192" customFormat="1" ht="15" hidden="1" customHeight="1">
      <c r="B32" s="193" t="s">
        <v>14</v>
      </c>
      <c r="C32" s="138" t="s">
        <v>283</v>
      </c>
      <c r="D32" s="136" t="s">
        <v>283</v>
      </c>
      <c r="E32" s="136" t="s">
        <v>283</v>
      </c>
      <c r="F32" s="136" t="s">
        <v>283</v>
      </c>
      <c r="G32" s="136" t="s">
        <v>283</v>
      </c>
      <c r="H32" s="79" t="s">
        <v>283</v>
      </c>
      <c r="I32" s="79"/>
      <c r="J32" s="74" t="s">
        <v>283</v>
      </c>
      <c r="K32" s="74" t="s">
        <v>283</v>
      </c>
      <c r="L32" s="73" t="s">
        <v>283</v>
      </c>
      <c r="M32" s="194"/>
    </row>
    <row r="33" spans="2:13" s="192" customFormat="1" ht="15" hidden="1" customHeight="1">
      <c r="B33" s="193" t="s">
        <v>46</v>
      </c>
      <c r="C33" s="138" t="s">
        <v>283</v>
      </c>
      <c r="D33" s="136" t="s">
        <v>283</v>
      </c>
      <c r="E33" s="136" t="s">
        <v>283</v>
      </c>
      <c r="F33" s="136" t="s">
        <v>283</v>
      </c>
      <c r="G33" s="136" t="s">
        <v>283</v>
      </c>
      <c r="H33" s="79" t="s">
        <v>283</v>
      </c>
      <c r="I33" s="79"/>
      <c r="J33" s="74" t="s">
        <v>283</v>
      </c>
      <c r="K33" s="74" t="s">
        <v>283</v>
      </c>
      <c r="L33" s="73" t="s">
        <v>283</v>
      </c>
      <c r="M33" s="194"/>
    </row>
    <row r="34" spans="2:13" s="192" customFormat="1" ht="15" hidden="1" customHeight="1">
      <c r="B34" s="193" t="s">
        <v>47</v>
      </c>
      <c r="C34" s="138" t="s">
        <v>283</v>
      </c>
      <c r="D34" s="136" t="s">
        <v>283</v>
      </c>
      <c r="E34" s="136" t="s">
        <v>283</v>
      </c>
      <c r="F34" s="136" t="s">
        <v>283</v>
      </c>
      <c r="G34" s="136" t="s">
        <v>283</v>
      </c>
      <c r="H34" s="79" t="s">
        <v>283</v>
      </c>
      <c r="I34" s="79"/>
      <c r="J34" s="74" t="s">
        <v>283</v>
      </c>
      <c r="K34" s="74" t="s">
        <v>283</v>
      </c>
      <c r="L34" s="73" t="s">
        <v>283</v>
      </c>
      <c r="M34" s="194"/>
    </row>
    <row r="35" spans="2:13" s="192" customFormat="1" ht="15" hidden="1" customHeight="1">
      <c r="B35" s="193" t="s">
        <v>17</v>
      </c>
      <c r="C35" s="95" t="s">
        <v>283</v>
      </c>
      <c r="D35" s="96" t="s">
        <v>283</v>
      </c>
      <c r="E35" s="96" t="s">
        <v>283</v>
      </c>
      <c r="F35" s="96" t="s">
        <v>283</v>
      </c>
      <c r="G35" s="96" t="s">
        <v>283</v>
      </c>
      <c r="H35" s="77" t="s">
        <v>283</v>
      </c>
      <c r="I35" s="77"/>
      <c r="J35" s="75" t="s">
        <v>283</v>
      </c>
      <c r="K35" s="75" t="s">
        <v>283</v>
      </c>
      <c r="L35" s="71" t="s">
        <v>283</v>
      </c>
      <c r="M35" s="194"/>
    </row>
    <row r="36" spans="2:13" s="192" customFormat="1" ht="30" customHeight="1">
      <c r="B36" s="191" t="s">
        <v>41</v>
      </c>
      <c r="C36" s="171"/>
      <c r="D36" s="172"/>
      <c r="E36" s="172"/>
      <c r="F36" s="172"/>
      <c r="G36" s="172"/>
      <c r="H36" s="195"/>
      <c r="I36" s="195"/>
      <c r="J36" s="195"/>
      <c r="K36" s="195"/>
      <c r="L36" s="196"/>
      <c r="M36" s="197" t="s">
        <v>327</v>
      </c>
    </row>
    <row r="37" spans="2:13" s="192" customFormat="1" ht="15.75" customHeight="1">
      <c r="B37" s="306" t="s">
        <v>31</v>
      </c>
      <c r="C37" s="307"/>
      <c r="D37" s="307"/>
      <c r="E37" s="307"/>
      <c r="F37" s="307"/>
      <c r="G37" s="307"/>
      <c r="H37" s="307"/>
      <c r="I37" s="307"/>
      <c r="J37" s="307"/>
      <c r="K37" s="307"/>
      <c r="L37" s="307"/>
      <c r="M37" s="308"/>
    </row>
    <row r="38" spans="2:13" s="192" customFormat="1" ht="85.9" customHeight="1">
      <c r="B38" s="187" t="s">
        <v>316</v>
      </c>
      <c r="C38" s="334" t="s">
        <v>283</v>
      </c>
      <c r="D38" s="321" t="s">
        <v>283</v>
      </c>
      <c r="E38" s="321" t="s">
        <v>283</v>
      </c>
      <c r="F38" s="321" t="s">
        <v>283</v>
      </c>
      <c r="G38" s="321" t="s">
        <v>283</v>
      </c>
      <c r="H38" s="319" t="s">
        <v>283</v>
      </c>
      <c r="I38" s="131"/>
      <c r="J38" s="319" t="s">
        <v>283</v>
      </c>
      <c r="K38" s="319" t="s">
        <v>283</v>
      </c>
      <c r="L38" s="336" t="s">
        <v>283</v>
      </c>
      <c r="M38" s="198" t="s">
        <v>327</v>
      </c>
    </row>
    <row r="39" spans="2:13" s="192" customFormat="1" ht="12.75" hidden="1" customHeight="1">
      <c r="B39" s="189" t="s">
        <v>39</v>
      </c>
      <c r="C39" s="335"/>
      <c r="D39" s="322"/>
      <c r="E39" s="322"/>
      <c r="F39" s="322"/>
      <c r="G39" s="322"/>
      <c r="H39" s="320"/>
      <c r="I39" s="132"/>
      <c r="J39" s="320"/>
      <c r="K39" s="320"/>
      <c r="L39" s="337"/>
      <c r="M39" s="140"/>
    </row>
    <row r="40" spans="2:13" s="159" customFormat="1" ht="81.75" hidden="1" customHeight="1">
      <c r="B40" s="193" t="s">
        <v>16</v>
      </c>
      <c r="C40" s="88" t="s">
        <v>283</v>
      </c>
      <c r="D40" s="89" t="s">
        <v>283</v>
      </c>
      <c r="E40" s="89" t="s">
        <v>283</v>
      </c>
      <c r="F40" s="89" t="s">
        <v>283</v>
      </c>
      <c r="G40" s="89" t="s">
        <v>283</v>
      </c>
      <c r="H40" s="76" t="s">
        <v>283</v>
      </c>
      <c r="I40" s="76"/>
      <c r="J40" s="76" t="s">
        <v>283</v>
      </c>
      <c r="K40" s="76" t="s">
        <v>283</v>
      </c>
      <c r="L40" s="72" t="s">
        <v>283</v>
      </c>
      <c r="M40" s="333" t="s">
        <v>327</v>
      </c>
    </row>
    <row r="41" spans="2:13" s="159" customFormat="1" ht="30" hidden="1" customHeight="1">
      <c r="B41" s="193" t="s">
        <v>13</v>
      </c>
      <c r="C41" s="86" t="s">
        <v>283</v>
      </c>
      <c r="D41" s="137" t="s">
        <v>283</v>
      </c>
      <c r="E41" s="137" t="s">
        <v>283</v>
      </c>
      <c r="F41" s="137" t="s">
        <v>283</v>
      </c>
      <c r="G41" s="137" t="s">
        <v>283</v>
      </c>
      <c r="H41" s="74" t="s">
        <v>283</v>
      </c>
      <c r="I41" s="74"/>
      <c r="J41" s="74" t="s">
        <v>283</v>
      </c>
      <c r="K41" s="74" t="s">
        <v>283</v>
      </c>
      <c r="L41" s="73" t="s">
        <v>283</v>
      </c>
      <c r="M41" s="331"/>
    </row>
    <row r="42" spans="2:13" s="159" customFormat="1" ht="15" hidden="1" customHeight="1">
      <c r="B42" s="193" t="s">
        <v>15</v>
      </c>
      <c r="C42" s="86" t="s">
        <v>283</v>
      </c>
      <c r="D42" s="137" t="s">
        <v>283</v>
      </c>
      <c r="E42" s="137" t="s">
        <v>283</v>
      </c>
      <c r="F42" s="137" t="s">
        <v>283</v>
      </c>
      <c r="G42" s="137" t="s">
        <v>283</v>
      </c>
      <c r="H42" s="74" t="s">
        <v>283</v>
      </c>
      <c r="I42" s="74"/>
      <c r="J42" s="74" t="s">
        <v>283</v>
      </c>
      <c r="K42" s="74" t="s">
        <v>283</v>
      </c>
      <c r="L42" s="73" t="s">
        <v>283</v>
      </c>
      <c r="M42" s="331"/>
    </row>
    <row r="43" spans="2:13" s="159" customFormat="1" ht="15" hidden="1" customHeight="1">
      <c r="B43" s="193" t="s">
        <v>12</v>
      </c>
      <c r="C43" s="86" t="s">
        <v>283</v>
      </c>
      <c r="D43" s="137" t="s">
        <v>283</v>
      </c>
      <c r="E43" s="137" t="s">
        <v>283</v>
      </c>
      <c r="F43" s="137" t="s">
        <v>283</v>
      </c>
      <c r="G43" s="137" t="s">
        <v>283</v>
      </c>
      <c r="H43" s="74" t="s">
        <v>283</v>
      </c>
      <c r="I43" s="74"/>
      <c r="J43" s="74" t="s">
        <v>283</v>
      </c>
      <c r="K43" s="74" t="s">
        <v>283</v>
      </c>
      <c r="L43" s="73" t="s">
        <v>283</v>
      </c>
      <c r="M43" s="331"/>
    </row>
    <row r="44" spans="2:13" s="159" customFormat="1" ht="15" hidden="1" customHeight="1">
      <c r="B44" s="193" t="s">
        <v>44</v>
      </c>
      <c r="C44" s="86" t="s">
        <v>283</v>
      </c>
      <c r="D44" s="137" t="s">
        <v>283</v>
      </c>
      <c r="E44" s="137" t="s">
        <v>283</v>
      </c>
      <c r="F44" s="137" t="s">
        <v>283</v>
      </c>
      <c r="G44" s="137" t="s">
        <v>283</v>
      </c>
      <c r="H44" s="74" t="s">
        <v>283</v>
      </c>
      <c r="I44" s="74"/>
      <c r="J44" s="74" t="s">
        <v>283</v>
      </c>
      <c r="K44" s="74" t="s">
        <v>283</v>
      </c>
      <c r="L44" s="73" t="s">
        <v>283</v>
      </c>
      <c r="M44" s="331"/>
    </row>
    <row r="45" spans="2:13" s="159" customFormat="1" ht="15" hidden="1" customHeight="1">
      <c r="B45" s="193" t="s">
        <v>45</v>
      </c>
      <c r="C45" s="86" t="s">
        <v>283</v>
      </c>
      <c r="D45" s="137" t="s">
        <v>283</v>
      </c>
      <c r="E45" s="137" t="s">
        <v>283</v>
      </c>
      <c r="F45" s="137" t="s">
        <v>283</v>
      </c>
      <c r="G45" s="137" t="s">
        <v>283</v>
      </c>
      <c r="H45" s="74" t="s">
        <v>283</v>
      </c>
      <c r="I45" s="74"/>
      <c r="J45" s="74" t="s">
        <v>283</v>
      </c>
      <c r="K45" s="74" t="s">
        <v>283</v>
      </c>
      <c r="L45" s="73" t="s">
        <v>283</v>
      </c>
      <c r="M45" s="331"/>
    </row>
    <row r="46" spans="2:13" s="159" customFormat="1" ht="15" hidden="1" customHeight="1">
      <c r="B46" s="193" t="s">
        <v>127</v>
      </c>
      <c r="C46" s="86" t="s">
        <v>283</v>
      </c>
      <c r="D46" s="137" t="s">
        <v>283</v>
      </c>
      <c r="E46" s="137" t="s">
        <v>283</v>
      </c>
      <c r="F46" s="137" t="s">
        <v>283</v>
      </c>
      <c r="G46" s="137" t="s">
        <v>283</v>
      </c>
      <c r="H46" s="74" t="s">
        <v>283</v>
      </c>
      <c r="I46" s="74"/>
      <c r="J46" s="74" t="s">
        <v>283</v>
      </c>
      <c r="K46" s="74" t="s">
        <v>283</v>
      </c>
      <c r="L46" s="73" t="s">
        <v>283</v>
      </c>
      <c r="M46" s="331"/>
    </row>
    <row r="47" spans="2:13" s="159" customFormat="1" ht="15" hidden="1" customHeight="1">
      <c r="B47" s="193" t="s">
        <v>14</v>
      </c>
      <c r="C47" s="86" t="s">
        <v>283</v>
      </c>
      <c r="D47" s="137" t="s">
        <v>283</v>
      </c>
      <c r="E47" s="137" t="s">
        <v>283</v>
      </c>
      <c r="F47" s="137" t="s">
        <v>283</v>
      </c>
      <c r="G47" s="137" t="s">
        <v>283</v>
      </c>
      <c r="H47" s="74" t="s">
        <v>283</v>
      </c>
      <c r="I47" s="74"/>
      <c r="J47" s="74" t="s">
        <v>283</v>
      </c>
      <c r="K47" s="74" t="s">
        <v>283</v>
      </c>
      <c r="L47" s="73" t="s">
        <v>283</v>
      </c>
      <c r="M47" s="331"/>
    </row>
    <row r="48" spans="2:13" s="159" customFormat="1" ht="15" hidden="1" customHeight="1">
      <c r="B48" s="193" t="s">
        <v>46</v>
      </c>
      <c r="C48" s="86" t="s">
        <v>283</v>
      </c>
      <c r="D48" s="137" t="s">
        <v>283</v>
      </c>
      <c r="E48" s="137" t="s">
        <v>283</v>
      </c>
      <c r="F48" s="137" t="s">
        <v>283</v>
      </c>
      <c r="G48" s="137" t="s">
        <v>283</v>
      </c>
      <c r="H48" s="74" t="s">
        <v>283</v>
      </c>
      <c r="I48" s="74"/>
      <c r="J48" s="74" t="s">
        <v>283</v>
      </c>
      <c r="K48" s="74" t="s">
        <v>283</v>
      </c>
      <c r="L48" s="73" t="s">
        <v>283</v>
      </c>
      <c r="M48" s="331"/>
    </row>
    <row r="49" spans="2:13" s="159" customFormat="1" ht="15" hidden="1" customHeight="1">
      <c r="B49" s="193" t="s">
        <v>47</v>
      </c>
      <c r="C49" s="86" t="s">
        <v>283</v>
      </c>
      <c r="D49" s="137" t="s">
        <v>283</v>
      </c>
      <c r="E49" s="137" t="s">
        <v>283</v>
      </c>
      <c r="F49" s="137" t="s">
        <v>283</v>
      </c>
      <c r="G49" s="137" t="s">
        <v>283</v>
      </c>
      <c r="H49" s="74" t="s">
        <v>283</v>
      </c>
      <c r="I49" s="74"/>
      <c r="J49" s="74" t="s">
        <v>283</v>
      </c>
      <c r="K49" s="74" t="s">
        <v>283</v>
      </c>
      <c r="L49" s="73" t="s">
        <v>283</v>
      </c>
      <c r="M49" s="331"/>
    </row>
    <row r="50" spans="2:13" s="159" customFormat="1" ht="15" hidden="1" customHeight="1">
      <c r="B50" s="199" t="s">
        <v>17</v>
      </c>
      <c r="C50" s="90" t="s">
        <v>283</v>
      </c>
      <c r="D50" s="91" t="s">
        <v>283</v>
      </c>
      <c r="E50" s="91" t="s">
        <v>283</v>
      </c>
      <c r="F50" s="91" t="s">
        <v>283</v>
      </c>
      <c r="G50" s="91" t="s">
        <v>283</v>
      </c>
      <c r="H50" s="75" t="s">
        <v>283</v>
      </c>
      <c r="I50" s="75"/>
      <c r="J50" s="75" t="s">
        <v>283</v>
      </c>
      <c r="K50" s="75" t="s">
        <v>283</v>
      </c>
      <c r="L50" s="71" t="s">
        <v>283</v>
      </c>
      <c r="M50" s="331"/>
    </row>
    <row r="51" spans="2:13" s="159" customFormat="1" ht="87.6" customHeight="1">
      <c r="B51" s="200" t="s">
        <v>317</v>
      </c>
      <c r="C51" s="334" t="s">
        <v>283</v>
      </c>
      <c r="D51" s="321" t="s">
        <v>283</v>
      </c>
      <c r="E51" s="321" t="s">
        <v>283</v>
      </c>
      <c r="F51" s="321" t="s">
        <v>283</v>
      </c>
      <c r="G51" s="321" t="s">
        <v>283</v>
      </c>
      <c r="H51" s="319" t="s">
        <v>283</v>
      </c>
      <c r="I51" s="131"/>
      <c r="J51" s="319" t="s">
        <v>283</v>
      </c>
      <c r="K51" s="319" t="s">
        <v>283</v>
      </c>
      <c r="L51" s="336" t="s">
        <v>283</v>
      </c>
      <c r="M51" s="331"/>
    </row>
    <row r="52" spans="2:13" s="159" customFormat="1" ht="14.45" hidden="1" customHeight="1">
      <c r="B52" s="178" t="s">
        <v>39</v>
      </c>
      <c r="C52" s="335"/>
      <c r="D52" s="322"/>
      <c r="E52" s="322"/>
      <c r="F52" s="322"/>
      <c r="G52" s="322"/>
      <c r="H52" s="320"/>
      <c r="I52" s="132"/>
      <c r="J52" s="320"/>
      <c r="K52" s="320"/>
      <c r="L52" s="337"/>
      <c r="M52" s="332"/>
    </row>
    <row r="53" spans="2:13" s="159" customFormat="1" ht="75.75" hidden="1" customHeight="1">
      <c r="B53" s="201" t="s">
        <v>16</v>
      </c>
      <c r="C53" s="84" t="s">
        <v>283</v>
      </c>
      <c r="D53" s="76" t="s">
        <v>283</v>
      </c>
      <c r="E53" s="85" t="s">
        <v>283</v>
      </c>
      <c r="F53" s="76" t="s">
        <v>283</v>
      </c>
      <c r="G53" s="85" t="s">
        <v>283</v>
      </c>
      <c r="H53" s="76" t="s">
        <v>283</v>
      </c>
      <c r="I53" s="76"/>
      <c r="J53" s="76" t="s">
        <v>283</v>
      </c>
      <c r="K53" s="76" t="s">
        <v>283</v>
      </c>
      <c r="L53" s="72" t="s">
        <v>283</v>
      </c>
      <c r="M53" s="331"/>
    </row>
    <row r="54" spans="2:13" s="159" customFormat="1" ht="29.45" hidden="1" customHeight="1">
      <c r="B54" s="193" t="s">
        <v>13</v>
      </c>
      <c r="C54" s="70" t="s">
        <v>283</v>
      </c>
      <c r="D54" s="74" t="s">
        <v>283</v>
      </c>
      <c r="E54" s="69" t="s">
        <v>283</v>
      </c>
      <c r="F54" s="74" t="s">
        <v>283</v>
      </c>
      <c r="G54" s="69" t="s">
        <v>283</v>
      </c>
      <c r="H54" s="74" t="s">
        <v>283</v>
      </c>
      <c r="I54" s="74"/>
      <c r="J54" s="74" t="s">
        <v>283</v>
      </c>
      <c r="K54" s="74" t="s">
        <v>283</v>
      </c>
      <c r="L54" s="73" t="s">
        <v>283</v>
      </c>
      <c r="M54" s="331"/>
    </row>
    <row r="55" spans="2:13" s="159" customFormat="1" ht="15" hidden="1" customHeight="1">
      <c r="B55" s="193" t="s">
        <v>15</v>
      </c>
      <c r="C55" s="70" t="s">
        <v>283</v>
      </c>
      <c r="D55" s="74" t="s">
        <v>283</v>
      </c>
      <c r="E55" s="69" t="s">
        <v>283</v>
      </c>
      <c r="F55" s="74" t="s">
        <v>283</v>
      </c>
      <c r="G55" s="69" t="s">
        <v>283</v>
      </c>
      <c r="H55" s="74" t="s">
        <v>283</v>
      </c>
      <c r="I55" s="74"/>
      <c r="J55" s="74" t="s">
        <v>283</v>
      </c>
      <c r="K55" s="74" t="s">
        <v>283</v>
      </c>
      <c r="L55" s="73" t="s">
        <v>283</v>
      </c>
      <c r="M55" s="331"/>
    </row>
    <row r="56" spans="2:13" s="159" customFormat="1" ht="15" hidden="1" customHeight="1">
      <c r="B56" s="193" t="s">
        <v>12</v>
      </c>
      <c r="C56" s="70" t="s">
        <v>283</v>
      </c>
      <c r="D56" s="74" t="s">
        <v>283</v>
      </c>
      <c r="E56" s="69" t="s">
        <v>283</v>
      </c>
      <c r="F56" s="74" t="s">
        <v>283</v>
      </c>
      <c r="G56" s="69" t="s">
        <v>283</v>
      </c>
      <c r="H56" s="74" t="s">
        <v>283</v>
      </c>
      <c r="I56" s="74"/>
      <c r="J56" s="74" t="s">
        <v>283</v>
      </c>
      <c r="K56" s="74" t="s">
        <v>283</v>
      </c>
      <c r="L56" s="73" t="s">
        <v>283</v>
      </c>
      <c r="M56" s="331"/>
    </row>
    <row r="57" spans="2:13" s="159" customFormat="1" ht="15" hidden="1" customHeight="1">
      <c r="B57" s="193" t="s">
        <v>44</v>
      </c>
      <c r="C57" s="70" t="s">
        <v>283</v>
      </c>
      <c r="D57" s="74" t="s">
        <v>283</v>
      </c>
      <c r="E57" s="69" t="s">
        <v>283</v>
      </c>
      <c r="F57" s="74" t="s">
        <v>283</v>
      </c>
      <c r="G57" s="69" t="s">
        <v>283</v>
      </c>
      <c r="H57" s="74" t="s">
        <v>283</v>
      </c>
      <c r="I57" s="74"/>
      <c r="J57" s="74" t="s">
        <v>283</v>
      </c>
      <c r="K57" s="74" t="s">
        <v>283</v>
      </c>
      <c r="L57" s="73" t="s">
        <v>283</v>
      </c>
      <c r="M57" s="331"/>
    </row>
    <row r="58" spans="2:13" s="159" customFormat="1" ht="15" hidden="1" customHeight="1">
      <c r="B58" s="193" t="s">
        <v>45</v>
      </c>
      <c r="C58" s="70" t="s">
        <v>283</v>
      </c>
      <c r="D58" s="74" t="s">
        <v>283</v>
      </c>
      <c r="E58" s="69" t="s">
        <v>283</v>
      </c>
      <c r="F58" s="74" t="s">
        <v>283</v>
      </c>
      <c r="G58" s="69" t="s">
        <v>283</v>
      </c>
      <c r="H58" s="74" t="s">
        <v>283</v>
      </c>
      <c r="I58" s="74"/>
      <c r="J58" s="74" t="s">
        <v>283</v>
      </c>
      <c r="K58" s="74" t="s">
        <v>283</v>
      </c>
      <c r="L58" s="73" t="s">
        <v>283</v>
      </c>
      <c r="M58" s="331"/>
    </row>
    <row r="59" spans="2:13" s="159" customFormat="1" ht="15" hidden="1" customHeight="1">
      <c r="B59" s="193" t="s">
        <v>127</v>
      </c>
      <c r="C59" s="70" t="s">
        <v>283</v>
      </c>
      <c r="D59" s="74" t="s">
        <v>283</v>
      </c>
      <c r="E59" s="69" t="s">
        <v>283</v>
      </c>
      <c r="F59" s="74" t="s">
        <v>283</v>
      </c>
      <c r="G59" s="69" t="s">
        <v>283</v>
      </c>
      <c r="H59" s="74" t="s">
        <v>283</v>
      </c>
      <c r="I59" s="74"/>
      <c r="J59" s="74" t="s">
        <v>283</v>
      </c>
      <c r="K59" s="74" t="s">
        <v>283</v>
      </c>
      <c r="L59" s="73" t="s">
        <v>283</v>
      </c>
      <c r="M59" s="331"/>
    </row>
    <row r="60" spans="2:13" s="159" customFormat="1" ht="15" hidden="1" customHeight="1">
      <c r="B60" s="193" t="s">
        <v>14</v>
      </c>
      <c r="C60" s="70" t="s">
        <v>283</v>
      </c>
      <c r="D60" s="74" t="s">
        <v>283</v>
      </c>
      <c r="E60" s="69" t="s">
        <v>283</v>
      </c>
      <c r="F60" s="74" t="s">
        <v>283</v>
      </c>
      <c r="G60" s="69" t="s">
        <v>283</v>
      </c>
      <c r="H60" s="74" t="s">
        <v>283</v>
      </c>
      <c r="I60" s="74"/>
      <c r="J60" s="74" t="s">
        <v>283</v>
      </c>
      <c r="K60" s="74" t="s">
        <v>283</v>
      </c>
      <c r="L60" s="73" t="s">
        <v>283</v>
      </c>
      <c r="M60" s="331"/>
    </row>
    <row r="61" spans="2:13" s="159" customFormat="1" ht="15" hidden="1" customHeight="1">
      <c r="B61" s="193" t="s">
        <v>46</v>
      </c>
      <c r="C61" s="70" t="s">
        <v>283</v>
      </c>
      <c r="D61" s="74" t="s">
        <v>283</v>
      </c>
      <c r="E61" s="69" t="s">
        <v>283</v>
      </c>
      <c r="F61" s="74" t="s">
        <v>283</v>
      </c>
      <c r="G61" s="69" t="s">
        <v>283</v>
      </c>
      <c r="H61" s="74" t="s">
        <v>283</v>
      </c>
      <c r="I61" s="74"/>
      <c r="J61" s="74" t="s">
        <v>283</v>
      </c>
      <c r="K61" s="74" t="s">
        <v>283</v>
      </c>
      <c r="L61" s="73" t="s">
        <v>283</v>
      </c>
      <c r="M61" s="331"/>
    </row>
    <row r="62" spans="2:13" s="159" customFormat="1" ht="15" hidden="1" customHeight="1">
      <c r="B62" s="193" t="s">
        <v>47</v>
      </c>
      <c r="C62" s="70" t="s">
        <v>283</v>
      </c>
      <c r="D62" s="74" t="s">
        <v>283</v>
      </c>
      <c r="E62" s="69" t="s">
        <v>283</v>
      </c>
      <c r="F62" s="74" t="s">
        <v>283</v>
      </c>
      <c r="G62" s="69" t="s">
        <v>283</v>
      </c>
      <c r="H62" s="74" t="s">
        <v>283</v>
      </c>
      <c r="I62" s="74"/>
      <c r="J62" s="74" t="s">
        <v>283</v>
      </c>
      <c r="K62" s="74" t="s">
        <v>283</v>
      </c>
      <c r="L62" s="73" t="s">
        <v>283</v>
      </c>
      <c r="M62" s="331"/>
    </row>
    <row r="63" spans="2:13" s="159" customFormat="1" ht="15" hidden="1" customHeight="1">
      <c r="B63" s="202" t="s">
        <v>17</v>
      </c>
      <c r="C63" s="65" t="s">
        <v>283</v>
      </c>
      <c r="D63" s="132" t="s">
        <v>283</v>
      </c>
      <c r="E63" s="66" t="s">
        <v>283</v>
      </c>
      <c r="F63" s="132" t="s">
        <v>283</v>
      </c>
      <c r="G63" s="66" t="s">
        <v>283</v>
      </c>
      <c r="H63" s="132" t="s">
        <v>283</v>
      </c>
      <c r="I63" s="132"/>
      <c r="J63" s="132" t="s">
        <v>283</v>
      </c>
      <c r="K63" s="132" t="s">
        <v>283</v>
      </c>
      <c r="L63" s="130" t="s">
        <v>283</v>
      </c>
      <c r="M63" s="331"/>
    </row>
    <row r="64" spans="2:13" s="159" customFormat="1" ht="15" hidden="1" customHeight="1">
      <c r="B64" s="141" t="s">
        <v>56</v>
      </c>
      <c r="C64" s="139"/>
      <c r="D64" s="139"/>
      <c r="E64" s="139"/>
      <c r="F64" s="139"/>
      <c r="G64" s="139"/>
      <c r="H64" s="139"/>
      <c r="I64" s="139"/>
      <c r="J64" s="139"/>
      <c r="K64" s="139"/>
      <c r="L64" s="139"/>
      <c r="M64" s="331"/>
    </row>
    <row r="65" spans="2:13" s="159" customFormat="1" ht="15" hidden="1" customHeight="1">
      <c r="B65" s="203"/>
      <c r="C65" s="204"/>
      <c r="D65" s="205"/>
      <c r="E65" s="206"/>
      <c r="F65" s="205"/>
      <c r="G65" s="206"/>
      <c r="H65" s="205"/>
      <c r="I65" s="205"/>
      <c r="J65" s="205"/>
      <c r="K65" s="205"/>
      <c r="L65" s="207"/>
      <c r="M65" s="332"/>
    </row>
    <row r="66" spans="2:13" s="159" customFormat="1" ht="15" hidden="1" customHeight="1">
      <c r="B66" s="208"/>
      <c r="C66" s="209"/>
      <c r="D66" s="210"/>
      <c r="E66" s="211"/>
      <c r="F66" s="210"/>
      <c r="G66" s="211"/>
      <c r="H66" s="210"/>
      <c r="I66" s="210"/>
      <c r="J66" s="210"/>
      <c r="K66" s="210"/>
      <c r="L66" s="212"/>
      <c r="M66" s="140"/>
    </row>
    <row r="67" spans="2:13" ht="50.1" hidden="1" customHeight="1">
      <c r="B67" s="213"/>
      <c r="C67" s="214"/>
      <c r="D67" s="215"/>
      <c r="E67" s="216"/>
      <c r="F67" s="215"/>
      <c r="G67" s="216"/>
      <c r="H67" s="215"/>
      <c r="I67" s="215"/>
      <c r="J67" s="215"/>
      <c r="K67" s="215"/>
      <c r="L67" s="217"/>
      <c r="M67" s="218"/>
    </row>
    <row r="68" spans="2:13" ht="50.1" hidden="1" customHeight="1">
      <c r="B68" s="219"/>
      <c r="C68" s="219"/>
      <c r="D68" s="219"/>
      <c r="E68" s="219"/>
      <c r="F68" s="219"/>
      <c r="G68" s="219"/>
      <c r="H68" s="219"/>
      <c r="I68" s="219"/>
      <c r="J68" s="219"/>
      <c r="K68" s="219"/>
      <c r="L68" s="219"/>
      <c r="M68" s="220"/>
    </row>
    <row r="69" spans="2:13" ht="50.1" hidden="1" customHeight="1">
      <c r="M69" s="221"/>
    </row>
  </sheetData>
  <sheetProtection password="CC18" sheet="1" objects="1" scenarios="1" selectLockedCells="1"/>
  <mergeCells count="80">
    <mergeCell ref="B2:B3"/>
    <mergeCell ref="B7:B8"/>
    <mergeCell ref="M7:M8"/>
    <mergeCell ref="B4:K4"/>
    <mergeCell ref="C7:L7"/>
    <mergeCell ref="B5:M5"/>
    <mergeCell ref="M18:M19"/>
    <mergeCell ref="M14:M15"/>
    <mergeCell ref="G23:G24"/>
    <mergeCell ref="L23:L24"/>
    <mergeCell ref="L38:L39"/>
    <mergeCell ref="J38:J39"/>
    <mergeCell ref="H38:H39"/>
    <mergeCell ref="M21:M22"/>
    <mergeCell ref="J23:J24"/>
    <mergeCell ref="H23:H24"/>
    <mergeCell ref="L21:L22"/>
    <mergeCell ref="L18:L19"/>
    <mergeCell ref="M23:M24"/>
    <mergeCell ref="B37:M37"/>
    <mergeCell ref="B20:M20"/>
    <mergeCell ref="B17:M17"/>
    <mergeCell ref="M53:M65"/>
    <mergeCell ref="M40:M52"/>
    <mergeCell ref="D51:D52"/>
    <mergeCell ref="C51:C52"/>
    <mergeCell ref="D38:D39"/>
    <mergeCell ref="C38:C39"/>
    <mergeCell ref="G38:G39"/>
    <mergeCell ref="G51:G52"/>
    <mergeCell ref="K51:K52"/>
    <mergeCell ref="J51:J52"/>
    <mergeCell ref="H51:H52"/>
    <mergeCell ref="F51:F52"/>
    <mergeCell ref="E38:E39"/>
    <mergeCell ref="L51:L52"/>
    <mergeCell ref="E51:E52"/>
    <mergeCell ref="F23:F24"/>
    <mergeCell ref="K38:K39"/>
    <mergeCell ref="F38:F39"/>
    <mergeCell ref="K23:K24"/>
    <mergeCell ref="K18:K19"/>
    <mergeCell ref="G18:G19"/>
    <mergeCell ref="H18:H19"/>
    <mergeCell ref="J21:J22"/>
    <mergeCell ref="H21:H22"/>
    <mergeCell ref="F21:F22"/>
    <mergeCell ref="G21:G22"/>
    <mergeCell ref="F18:F19"/>
    <mergeCell ref="K21:K22"/>
    <mergeCell ref="J18:J19"/>
    <mergeCell ref="B9:M9"/>
    <mergeCell ref="K14:K15"/>
    <mergeCell ref="J14:J15"/>
    <mergeCell ref="H14:H15"/>
    <mergeCell ref="F14:F15"/>
    <mergeCell ref="L14:L15"/>
    <mergeCell ref="G14:G15"/>
    <mergeCell ref="L10:L11"/>
    <mergeCell ref="F10:F11"/>
    <mergeCell ref="M10:M11"/>
    <mergeCell ref="K10:K11"/>
    <mergeCell ref="J10:J11"/>
    <mergeCell ref="H10:H11"/>
    <mergeCell ref="G10:G11"/>
    <mergeCell ref="E23:E24"/>
    <mergeCell ref="E10:E11"/>
    <mergeCell ref="D18:D19"/>
    <mergeCell ref="C18:C19"/>
    <mergeCell ref="D21:D22"/>
    <mergeCell ref="C21:C22"/>
    <mergeCell ref="D23:D24"/>
    <mergeCell ref="C23:C24"/>
    <mergeCell ref="D14:D15"/>
    <mergeCell ref="C14:C15"/>
    <mergeCell ref="D10:D11"/>
    <mergeCell ref="C10:C11"/>
    <mergeCell ref="E21:E22"/>
    <mergeCell ref="E14:E15"/>
    <mergeCell ref="E18:E19"/>
  </mergeCells>
  <hyperlinks>
    <hyperlink ref="B11" r:id="rId1"/>
    <hyperlink ref="B19" r:id="rId2"/>
    <hyperlink ref="B24" r:id="rId3"/>
    <hyperlink ref="B39" r:id="rId4"/>
    <hyperlink ref="B52" r:id="rId5"/>
    <hyperlink ref="B15" r:id="rId6"/>
    <hyperlink ref="B22" r:id="rId7"/>
  </hyperlinks>
  <pageMargins left="0.25" right="0.25" top="0.75" bottom="0.75" header="0.3" footer="0.3"/>
  <pageSetup scale="62" fitToHeight="5" orientation="portrait" r:id="rId8"/>
  <headerFooter scaleWithDoc="0">
    <oddFooter>&amp;L&amp;10Massachusetts Department of Elementary and Secondary Education&amp;R&amp;10Page &amp;P of &amp;N</oddFooter>
  </headerFooter>
</worksheet>
</file>

<file path=xl/worksheets/sheet3.xml><?xml version="1.0" encoding="utf-8"?>
<worksheet xmlns="http://schemas.openxmlformats.org/spreadsheetml/2006/main" xmlns:r="http://schemas.openxmlformats.org/officeDocument/2006/relationships">
  <sheetPr codeName="Sheet3"/>
  <dimension ref="B1:L157"/>
  <sheetViews>
    <sheetView zoomScaleNormal="100" zoomScaleSheetLayoutView="80" workbookViewId="0">
      <pane ySplit="8" topLeftCell="A117" activePane="bottomLeft" state="frozen"/>
      <selection activeCell="I2" sqref="I2"/>
      <selection pane="bottomLeft" activeCell="B141" sqref="B141"/>
    </sheetView>
  </sheetViews>
  <sheetFormatPr defaultColWidth="9.140625" defaultRowHeight="12.75"/>
  <cols>
    <col min="1" max="1" width="2.7109375" style="1" customWidth="1"/>
    <col min="2" max="2" width="58.140625" style="1" customWidth="1"/>
    <col min="3" max="11" width="8.42578125" style="5" customWidth="1"/>
    <col min="12" max="12" width="37.140625" style="1" hidden="1" customWidth="1"/>
    <col min="13" max="16384" width="9.140625" style="1"/>
  </cols>
  <sheetData>
    <row r="1" spans="2:12" ht="15">
      <c r="B1" s="142" t="s">
        <v>344</v>
      </c>
      <c r="C1" s="143"/>
      <c r="D1" s="143"/>
      <c r="E1" s="143"/>
      <c r="F1" s="143"/>
      <c r="G1" s="143"/>
      <c r="H1" s="143"/>
      <c r="I1" s="143"/>
      <c r="J1" s="143"/>
      <c r="K1" s="145" t="s">
        <v>345</v>
      </c>
      <c r="L1" s="143"/>
    </row>
    <row r="2" spans="2:12" ht="15" customHeight="1">
      <c r="B2" s="375" t="s">
        <v>25</v>
      </c>
      <c r="C2" s="13"/>
      <c r="D2" s="14"/>
      <c r="E2" s="14"/>
      <c r="F2" s="14"/>
      <c r="G2" s="14"/>
      <c r="H2" s="14"/>
      <c r="I2" s="12"/>
      <c r="J2" s="12"/>
      <c r="K2" s="12"/>
      <c r="L2" s="68" t="s">
        <v>27</v>
      </c>
    </row>
    <row r="3" spans="2:12" ht="15" customHeight="1">
      <c r="B3" s="375"/>
      <c r="C3" s="13"/>
      <c r="D3" s="14"/>
      <c r="E3" s="14"/>
      <c r="F3" s="14"/>
      <c r="G3" s="14"/>
      <c r="H3" s="14"/>
      <c r="I3" s="12"/>
      <c r="J3" s="12"/>
      <c r="K3" s="12"/>
      <c r="L3" s="11"/>
    </row>
    <row r="4" spans="2:12">
      <c r="B4" s="146" t="s">
        <v>346</v>
      </c>
      <c r="C4" s="15"/>
      <c r="D4" s="15"/>
      <c r="E4" s="15"/>
      <c r="F4" s="15"/>
      <c r="G4" s="15"/>
      <c r="H4" s="15"/>
      <c r="I4" s="12"/>
      <c r="J4" s="12"/>
      <c r="K4" s="12"/>
      <c r="L4" s="11"/>
    </row>
    <row r="5" spans="2:12" ht="45" customHeight="1">
      <c r="B5" s="376" t="s">
        <v>348</v>
      </c>
      <c r="C5" s="376"/>
      <c r="D5" s="376"/>
      <c r="E5" s="376"/>
      <c r="F5" s="376"/>
      <c r="G5" s="376"/>
      <c r="H5" s="376"/>
      <c r="I5" s="376"/>
      <c r="J5" s="376"/>
      <c r="K5" s="376"/>
      <c r="L5" s="376"/>
    </row>
    <row r="6" spans="2:12" ht="5.0999999999999996" customHeight="1">
      <c r="B6" s="6"/>
      <c r="C6" s="6"/>
      <c r="D6" s="6"/>
      <c r="E6" s="6"/>
      <c r="F6" s="6"/>
      <c r="G6" s="6"/>
      <c r="H6" s="6"/>
      <c r="I6" s="6"/>
      <c r="J6" s="6"/>
      <c r="K6" s="6"/>
      <c r="L6" s="6"/>
    </row>
    <row r="7" spans="2:12" s="2" customFormat="1" ht="35.25" customHeight="1">
      <c r="B7" s="379" t="s">
        <v>0</v>
      </c>
      <c r="C7" s="381" t="s">
        <v>1</v>
      </c>
      <c r="D7" s="382"/>
      <c r="E7" s="382"/>
      <c r="F7" s="382"/>
      <c r="G7" s="382"/>
      <c r="H7" s="382"/>
      <c r="I7" s="382"/>
      <c r="J7" s="382"/>
      <c r="K7" s="383"/>
      <c r="L7" s="377" t="s">
        <v>321</v>
      </c>
    </row>
    <row r="8" spans="2:12" s="2" customFormat="1" ht="35.25" customHeight="1">
      <c r="B8" s="380"/>
      <c r="C8" s="10" t="s">
        <v>137</v>
      </c>
      <c r="D8" s="10" t="s">
        <v>18</v>
      </c>
      <c r="E8" s="10" t="s">
        <v>138</v>
      </c>
      <c r="F8" s="10" t="s">
        <v>19</v>
      </c>
      <c r="G8" s="10" t="s">
        <v>142</v>
      </c>
      <c r="H8" s="10" t="s">
        <v>20</v>
      </c>
      <c r="I8" s="10" t="s">
        <v>21</v>
      </c>
      <c r="J8" s="10" t="s">
        <v>22</v>
      </c>
      <c r="K8" s="10" t="s">
        <v>278</v>
      </c>
      <c r="L8" s="378"/>
    </row>
    <row r="9" spans="2:12" s="2" customFormat="1" ht="40.5" customHeight="1">
      <c r="B9" s="358" t="s">
        <v>42</v>
      </c>
      <c r="C9" s="359"/>
      <c r="D9" s="359"/>
      <c r="E9" s="359"/>
      <c r="F9" s="359"/>
      <c r="G9" s="359"/>
      <c r="H9" s="359"/>
      <c r="I9" s="359"/>
      <c r="J9" s="359"/>
      <c r="K9" s="359"/>
      <c r="L9" s="360"/>
    </row>
    <row r="10" spans="2:12" s="4" customFormat="1" ht="99.6" customHeight="1">
      <c r="B10" s="97" t="s">
        <v>43</v>
      </c>
      <c r="C10" s="299">
        <f>IF(ISERROR(VLOOKUP(School_Code&amp;"All students",School_Data,12,FALSE)),"",(VLOOKUP(School_Code&amp;"All students",School_Data,12,FALSE)))</f>
        <v>67.7</v>
      </c>
      <c r="D10" s="364">
        <f>IF(ISERROR(VLOOKUP(School_Code&amp;"All students",School_Data,13,FALSE)),"",(VLOOKUP(School_Code&amp;"All students",School_Data,13,FALSE)))</f>
        <v>70.400000000000006</v>
      </c>
      <c r="E10" s="364">
        <f>IF(ISERROR(VLOOKUP(School_Code&amp;"All students",School_Data,14,FALSE)),"",(VLOOKUP(School_Code&amp;"All students",School_Data,14,FALSE)))</f>
        <v>68.8</v>
      </c>
      <c r="F10" s="364">
        <f>IF(ISERROR(VLOOKUP(School_Code&amp;"All students",School_Data,15,FALSE)),"",(VLOOKUP(School_Code&amp;"All students",School_Data,15,FALSE)))</f>
        <v>73.099999999999994</v>
      </c>
      <c r="G10" s="364">
        <f>IF(ISERROR(VLOOKUP(School_Code&amp;"All students",School_Data,16,FALSE)),"",(VLOOKUP(School_Code&amp;"All students",School_Data,16,FALSE)))</f>
        <v>69.3</v>
      </c>
      <c r="H10" s="364">
        <f>IF(ISERROR(VLOOKUP(School_Code&amp;"All students",School_Data,17,FALSE)),"",(VLOOKUP(School_Code&amp;"All students",School_Data,17,FALSE)))</f>
        <v>75.8</v>
      </c>
      <c r="I10" s="321">
        <f>IF(ISERROR(VLOOKUP(School_Code&amp;"All students",School_Data,18,FALSE)),"",(VLOOKUP(School_Code&amp;"All students",School_Data,18,FALSE)))</f>
        <v>78.5</v>
      </c>
      <c r="J10" s="321">
        <f>IF(ISERROR(VLOOKUP(School_Code&amp;"All students",School_Data,19,FALSE)),"",(VLOOKUP(School_Code&amp;"All students",School_Data,19,FALSE)))</f>
        <v>81.2</v>
      </c>
      <c r="K10" s="384">
        <f>IF(ISERROR(VLOOKUP(School_Code&amp;"All students",School_Data,20,FALSE)),"",(VLOOKUP(School_Code&amp;"All students",School_Data,20,FALSE)))</f>
        <v>83.9</v>
      </c>
      <c r="L10" s="371" t="s">
        <v>319</v>
      </c>
    </row>
    <row r="11" spans="2:12" s="4" customFormat="1" ht="29.25" hidden="1" customHeight="1">
      <c r="B11" s="98" t="s">
        <v>39</v>
      </c>
      <c r="C11" s="363"/>
      <c r="D11" s="365"/>
      <c r="E11" s="365"/>
      <c r="F11" s="365"/>
      <c r="G11" s="365"/>
      <c r="H11" s="365"/>
      <c r="I11" s="369"/>
      <c r="J11" s="369"/>
      <c r="K11" s="385"/>
      <c r="L11" s="371"/>
    </row>
    <row r="12" spans="2:12" s="3" customFormat="1" ht="15" customHeight="1">
      <c r="B12" s="99" t="s">
        <v>16</v>
      </c>
      <c r="C12" s="82">
        <f>IF(ISERROR(VLOOKUP(School_Code&amp;"High needs",School_Data,12,FALSE)),"",(VLOOKUP(School_Code&amp;"High needs",School_Data,12,FALSE)))</f>
        <v>66.2</v>
      </c>
      <c r="D12" s="83">
        <f>IF(ISERROR(VLOOKUP(School_Code&amp;"High needs",School_Data,13,FALSE)),"",(VLOOKUP(School_Code&amp;"High needs",School_Data,13,FALSE)))</f>
        <v>69</v>
      </c>
      <c r="E12" s="83">
        <f>IF(ISERROR(VLOOKUP(School_Code&amp;"High needs",School_Data,14,FALSE)),"",(VLOOKUP(School_Code&amp;"High needs",School_Data,14,FALSE)))</f>
        <v>67.8</v>
      </c>
      <c r="F12" s="83">
        <f>IF(ISERROR(VLOOKUP(School_Code&amp;"High needs",School_Data,15,FALSE)),"",(VLOOKUP(School_Code&amp;"High needs",School_Data,15,FALSE)))</f>
        <v>71.8</v>
      </c>
      <c r="G12" s="83">
        <f>IF(ISERROR(VLOOKUP(School_Code&amp;"High needs",School_Data,16,FALSE)),"",(VLOOKUP(School_Code&amp;"High needs",School_Data,16,FALSE)))</f>
        <v>68.900000000000006</v>
      </c>
      <c r="H12" s="83">
        <f>IF(ISERROR(VLOOKUP(School_Code&amp;"High needs",School_Data,17,FALSE)),"",(VLOOKUP(School_Code&amp;"High needs",School_Data,17,FALSE)))</f>
        <v>74.7</v>
      </c>
      <c r="I12" s="83">
        <f>IF(ISERROR(VLOOKUP(School_Code&amp;"High needs",School_Data,18,FALSE)),"",(VLOOKUP(School_Code&amp;"High needs",School_Data,18,FALSE)))</f>
        <v>77.5</v>
      </c>
      <c r="J12" s="83">
        <f>IF(ISERROR(VLOOKUP(School_Code&amp;"High needs",School_Data,19,FALSE)),"",(VLOOKUP(School_Code&amp;"High needs",School_Data,19,FALSE)))</f>
        <v>80.3</v>
      </c>
      <c r="K12" s="100">
        <f>IF(ISERROR(VLOOKUP(School_Code&amp;"High needs",School_Data,20,FALSE)),"",(VLOOKUP(School_Code&amp;"High needs",School_Data,20,FALSE)))</f>
        <v>83.1</v>
      </c>
      <c r="L12" s="371"/>
    </row>
    <row r="13" spans="2:12" s="3" customFormat="1" ht="15" customHeight="1">
      <c r="B13" s="99" t="s">
        <v>13</v>
      </c>
      <c r="C13" s="82">
        <f>IF(ISERROR(VLOOKUP(School_Code&amp;"Low income",School_Data,12,FALSE)),"",(VLOOKUP(School_Code&amp;"Low income",School_Data,12,FALSE)))</f>
        <v>66.8</v>
      </c>
      <c r="D13" s="83">
        <f>IF(ISERROR(VLOOKUP(School_Code&amp;"Low income",School_Data,13,FALSE)),"",(VLOOKUP(School_Code&amp;"Low income",School_Data,13,FALSE)))</f>
        <v>69.599999999999994</v>
      </c>
      <c r="E13" s="83">
        <f>IF(ISERROR(VLOOKUP(School_Code&amp;"Low income",School_Data,14,FALSE)),"",(VLOOKUP(School_Code&amp;"Low income",School_Data,14,FALSE)))</f>
        <v>68</v>
      </c>
      <c r="F13" s="83">
        <f>IF(ISERROR(VLOOKUP(School_Code&amp;"Low income",School_Data,15,FALSE)),"",(VLOOKUP(School_Code&amp;"Low income",School_Data,15,FALSE)))</f>
        <v>72.3</v>
      </c>
      <c r="G13" s="83">
        <f>IF(ISERROR(VLOOKUP(School_Code&amp;"Low income",School_Data,16,FALSE)),"",(VLOOKUP(School_Code&amp;"Low income",School_Data,16,FALSE)))</f>
        <v>68.8</v>
      </c>
      <c r="H13" s="83">
        <f>IF(ISERROR(VLOOKUP(School_Code&amp;"Low income",School_Data,17,FALSE)),"",(VLOOKUP(School_Code&amp;"Low income",School_Data,17,FALSE)))</f>
        <v>75.099999999999994</v>
      </c>
      <c r="I13" s="83">
        <f>IF(ISERROR(VLOOKUP(School_Code&amp;"Low income",School_Data,18,FALSE)),"",(VLOOKUP(School_Code&amp;"Low income",School_Data,18,FALSE)))</f>
        <v>77.900000000000006</v>
      </c>
      <c r="J13" s="83">
        <f>IF(ISERROR(VLOOKUP(School_Code&amp;"Low income",School_Data,19,FALSE)),"",(VLOOKUP(School_Code&amp;"Low income",School_Data,19,FALSE)))</f>
        <v>80.599999999999994</v>
      </c>
      <c r="K13" s="100">
        <f>IF(ISERROR(VLOOKUP(School_Code&amp;"Low income",School_Data,20,FALSE)),"",(VLOOKUP(School_Code&amp;"Low income",School_Data,20,FALSE)))</f>
        <v>83.4</v>
      </c>
      <c r="L13" s="371"/>
    </row>
    <row r="14" spans="2:12" s="3" customFormat="1" ht="15" customHeight="1">
      <c r="B14" s="99" t="s">
        <v>15</v>
      </c>
      <c r="C14" s="82" t="str">
        <f>IF(ISERROR(VLOOKUP(School_Code&amp;"ELL and Former ELL",School_Data,12,FALSE)),"",(VLOOKUP(School_Code&amp;"ELL and Former ELL",School_Data,12,FALSE)))</f>
        <v>--</v>
      </c>
      <c r="D14" s="83" t="str">
        <f>IF(ISERROR(VLOOKUP(School_Code&amp;"ELL and Former ELL",School_Data,13,FALSE)),"",(VLOOKUP(School_Code&amp;"ELL and Former ELL",School_Data,13,FALSE)))</f>
        <v>--</v>
      </c>
      <c r="E14" s="83" t="str">
        <f>IF(ISERROR(VLOOKUP(School_Code&amp;"ELL and Former ELL",School_Data,14,FALSE)),"",(VLOOKUP(School_Code&amp;"ELL and Former ELL",School_Data,14,FALSE)))</f>
        <v>--</v>
      </c>
      <c r="F14" s="83" t="str">
        <f>IF(ISERROR(VLOOKUP(School_Code&amp;"ELL and Former ELL",School_Data,15,FALSE)),"",(VLOOKUP(School_Code&amp;"ELL and Former ELL",School_Data,15,FALSE)))</f>
        <v>--</v>
      </c>
      <c r="G14" s="83" t="str">
        <f>IF(ISERROR(VLOOKUP(School_Code&amp;"ELL and Former ELL",School_Data,16,FALSE)),"",(VLOOKUP(School_Code&amp;"ELL and Former ELL",School_Data,16,FALSE)))</f>
        <v>--</v>
      </c>
      <c r="H14" s="83" t="str">
        <f>IF(ISERROR(VLOOKUP(School_Code&amp;"ELL and Former ELL",School_Data,17,FALSE)),"",(VLOOKUP(School_Code&amp;"ELL and Former ELL",School_Data,17,FALSE)))</f>
        <v>--</v>
      </c>
      <c r="I14" s="87" t="str">
        <f>IF(ISERROR(VLOOKUP(School_Code&amp;"ELL and Former ELL",School_Data,18,FALSE)),"",(VLOOKUP(School_Code&amp;"ELL and Former ELL",School_Data,18,FALSE)))</f>
        <v>--</v>
      </c>
      <c r="J14" s="87" t="str">
        <f>IF(ISERROR(VLOOKUP(School_Code&amp;"ELL and Former ELL",School_Data,19,FALSE)),"",(VLOOKUP(School_Code&amp;"ELL and Former ELL",School_Data,19,FALSE)))</f>
        <v>--</v>
      </c>
      <c r="K14" s="101" t="str">
        <f>IF(ISERROR(VLOOKUP(School_Code&amp;"ELL and Former ELL",School_Data,20,FALSE)),"",(VLOOKUP(School_Code&amp;"ELL and Former ELL",School_Data,20,FALSE)))</f>
        <v>--</v>
      </c>
      <c r="L14" s="371"/>
    </row>
    <row r="15" spans="2:12" s="3" customFormat="1" ht="15" customHeight="1">
      <c r="B15" s="99" t="s">
        <v>12</v>
      </c>
      <c r="C15" s="82">
        <f>IF(ISERROR(VLOOKUP(School_Code&amp;"Students w/disabilities",School_Data,12,FALSE)),"",(VLOOKUP(School_Code&amp;"Students w/disabilities",School_Data,12,FALSE)))</f>
        <v>61.4</v>
      </c>
      <c r="D15" s="83">
        <f>IF(ISERROR(VLOOKUP(School_Code&amp;"Students w/disabilities",School_Data,13,FALSE)),"",(VLOOKUP(School_Code&amp;"Students w/disabilities",School_Data,13,FALSE)))</f>
        <v>64.599999999999994</v>
      </c>
      <c r="E15" s="83">
        <f>IF(ISERROR(VLOOKUP(School_Code&amp;"Students w/disabilities",School_Data,14,FALSE)),"",(VLOOKUP(School_Code&amp;"Students w/disabilities",School_Data,14,FALSE)))</f>
        <v>49</v>
      </c>
      <c r="F15" s="83">
        <f>IF(ISERROR(VLOOKUP(School_Code&amp;"Students w/disabilities",School_Data,15,FALSE)),"",(VLOOKUP(School_Code&amp;"Students w/disabilities",School_Data,15,FALSE)))</f>
        <v>67.8</v>
      </c>
      <c r="G15" s="83">
        <f>IF(ISERROR(VLOOKUP(School_Code&amp;"Students w/disabilities",School_Data,16,FALSE)),"",(VLOOKUP(School_Code&amp;"Students w/disabilities",School_Data,16,FALSE)))</f>
        <v>48.3</v>
      </c>
      <c r="H15" s="83">
        <f>IF(ISERROR(VLOOKUP(School_Code&amp;"Students w/disabilities",School_Data,17,FALSE)),"",(VLOOKUP(School_Code&amp;"Students w/disabilities",School_Data,17,FALSE)))</f>
        <v>71.099999999999994</v>
      </c>
      <c r="I15" s="87">
        <f>IF(ISERROR(VLOOKUP(School_Code&amp;"Students w/disabilities",School_Data,18,FALSE)),"",(VLOOKUP(School_Code&amp;"Students w/disabilities",School_Data,18,FALSE)))</f>
        <v>74.3</v>
      </c>
      <c r="J15" s="87">
        <f>IF(ISERROR(VLOOKUP(School_Code&amp;"Students w/disabilities",School_Data,19,FALSE)),"",(VLOOKUP(School_Code&amp;"Students w/disabilities",School_Data,19,FALSE)))</f>
        <v>77.5</v>
      </c>
      <c r="K15" s="101">
        <f>IF(ISERROR(VLOOKUP(School_Code&amp;"Students w/disabilities",School_Data,20,FALSE)),"",(VLOOKUP(School_Code&amp;"Students w/disabilities",School_Data,20,FALSE)))</f>
        <v>80.7</v>
      </c>
      <c r="L15" s="371"/>
    </row>
    <row r="16" spans="2:12" s="3" customFormat="1" ht="15" customHeight="1">
      <c r="B16" s="99" t="s">
        <v>44</v>
      </c>
      <c r="C16" s="82" t="str">
        <f>IF(ISERROR(VLOOKUP(School_Code&amp;"Amer. Ind. or Alaska Nat.",School_Data,12,FALSE)),"",(VLOOKUP(School_Code&amp;"Amer. Ind. or Alaska Nat.",School_Data,12,FALSE)))</f>
        <v>--</v>
      </c>
      <c r="D16" s="83" t="str">
        <f>IF(ISERROR(VLOOKUP(School_Code&amp;"Amer. Ind. or Alaska Nat.",School_Data,13,FALSE)),"",(VLOOKUP(School_Code&amp;"Amer. Ind. or Alaska Nat.",School_Data,13,FALSE)))</f>
        <v>--</v>
      </c>
      <c r="E16" s="83" t="str">
        <f>IF(ISERROR(VLOOKUP(School_Code&amp;"Amer. Ind. or Alaska Nat.",School_Data,14,FALSE)),"",(VLOOKUP(School_Code&amp;"Amer. Ind. or Alaska Nat.",School_Data,14,FALSE)))</f>
        <v>--</v>
      </c>
      <c r="F16" s="83" t="str">
        <f>IF(ISERROR(VLOOKUP(School_Code&amp;"Amer. Ind. or Alaska Nat.",School_Data,15,FALSE)),"",(VLOOKUP(School_Code&amp;"Amer. Ind. or Alaska Nat.",School_Data,15,FALSE)))</f>
        <v>--</v>
      </c>
      <c r="G16" s="83" t="str">
        <f>IF(ISERROR(VLOOKUP(School_Code&amp;"Amer. Ind. or Alaska Nat.",School_Data,16,FALSE)),"",(VLOOKUP(School_Code&amp;"Amer. Ind. or Alaska Nat.",School_Data,16,FALSE)))</f>
        <v>--</v>
      </c>
      <c r="H16" s="83" t="str">
        <f>IF(ISERROR(VLOOKUP(School_Code&amp;"Amer. Ind. or Alaska Nat.",School_Data,17,FALSE)),"",(VLOOKUP(School_Code&amp;"Amer. Ind. or Alaska Nat.",School_Data,17,FALSE)))</f>
        <v>--</v>
      </c>
      <c r="I16" s="87" t="str">
        <f>IF(ISERROR(VLOOKUP(School_Code&amp;"Amer. Ind. or Alaska Nat.",School_Data,18,FALSE)),"",(VLOOKUP(School_Code&amp;"Amer. Ind. or Alaska Nat.",School_Data,18,FALSE)))</f>
        <v>--</v>
      </c>
      <c r="J16" s="87" t="str">
        <f>IF(ISERROR(VLOOKUP(School_Code&amp;"Amer. Ind. or Alaska Nat.",School_Data,19,FALSE)),"",(VLOOKUP(School_Code&amp;"Amer. Ind. or Alaska Nat.",School_Data,19,FALSE)))</f>
        <v>--</v>
      </c>
      <c r="K16" s="101" t="str">
        <f>IF(ISERROR(VLOOKUP(School_Code&amp;"Amer. Ind. or Alaska Nat.",School_Data,20,FALSE)),"",(VLOOKUP(School_Code&amp;"Amer. Ind. or Alaska Nat.",School_Data,20,FALSE)))</f>
        <v>--</v>
      </c>
      <c r="L16" s="371"/>
    </row>
    <row r="17" spans="2:12" s="3" customFormat="1" ht="15" customHeight="1">
      <c r="B17" s="99" t="s">
        <v>45</v>
      </c>
      <c r="C17" s="82" t="str">
        <f>IF(ISERROR(VLOOKUP(School_Code&amp;"Asian",School_Data,12,FALSE)),"",(VLOOKUP(School_Code&amp;"Asian",School_Data,12,FALSE)))</f>
        <v>--</v>
      </c>
      <c r="D17" s="83" t="str">
        <f>IF(ISERROR(VLOOKUP(School_Code&amp;"Asian",School_Data,13,FALSE)),"",(VLOOKUP(School_Code&amp;"Asian",School_Data,13,FALSE)))</f>
        <v>--</v>
      </c>
      <c r="E17" s="83" t="str">
        <f>IF(ISERROR(VLOOKUP(School_Code&amp;"Asian",School_Data,14,FALSE)),"",(VLOOKUP(School_Code&amp;"Asian",School_Data,14,FALSE)))</f>
        <v>--</v>
      </c>
      <c r="F17" s="83" t="str">
        <f>IF(ISERROR(VLOOKUP(School_Code&amp;"Asian",School_Data,15,FALSE)),"",(VLOOKUP(School_Code&amp;"Asian",School_Data,15,FALSE)))</f>
        <v>--</v>
      </c>
      <c r="G17" s="83" t="str">
        <f>IF(ISERROR(VLOOKUP(School_Code&amp;"Asian",School_Data,16,FALSE)),"",(VLOOKUP(School_Code&amp;"Asian",School_Data,16,FALSE)))</f>
        <v>--</v>
      </c>
      <c r="H17" s="83" t="str">
        <f>IF(ISERROR(VLOOKUP(School_Code&amp;"Asian",School_Data,17,FALSE)),"",(VLOOKUP(School_Code&amp;"Asian",School_Data,17,FALSE)))</f>
        <v>--</v>
      </c>
      <c r="I17" s="87" t="str">
        <f>IF(ISERROR(VLOOKUP(School_Code&amp;"Asian",School_Data,18,FALSE)),"",(VLOOKUP(School_Code&amp;"Asian",School_Data,18,FALSE)))</f>
        <v>--</v>
      </c>
      <c r="J17" s="87" t="str">
        <f>IF(ISERROR(VLOOKUP(School_Code&amp;"Asian",School_Data,19,FALSE)),"",(VLOOKUP(School_Code&amp;"Asian",School_Data,19,FALSE)))</f>
        <v>--</v>
      </c>
      <c r="K17" s="101" t="str">
        <f>IF(ISERROR(VLOOKUP(School_Code&amp;"Asian",School_Data,20,FALSE)),"",(VLOOKUP(School_Code&amp;"Asian",School_Data,20,FALSE)))</f>
        <v>--</v>
      </c>
      <c r="L17" s="371"/>
    </row>
    <row r="18" spans="2:12" s="3" customFormat="1" ht="15" customHeight="1">
      <c r="B18" s="99" t="s">
        <v>11</v>
      </c>
      <c r="C18" s="82">
        <f>IF(ISERROR(VLOOKUP(School_Code&amp;"Afr. Amer/Black",School_Data,12,FALSE)),"",(VLOOKUP(School_Code&amp;"Afr. Amer/Black",School_Data,12,FALSE)))</f>
        <v>63.1</v>
      </c>
      <c r="D18" s="83">
        <f>IF(ISERROR(VLOOKUP(School_Code&amp;"Afr. Amer/Black",School_Data,13,FALSE)),"",(VLOOKUP(School_Code&amp;"Afr. Amer/Black",School_Data,13,FALSE)))</f>
        <v>66.2</v>
      </c>
      <c r="E18" s="83">
        <f>IF(ISERROR(VLOOKUP(School_Code&amp;"Afr. Amer/Black",School_Data,14,FALSE)),"",(VLOOKUP(School_Code&amp;"Afr. Amer/Black",School_Data,14,FALSE)))</f>
        <v>57.9</v>
      </c>
      <c r="F18" s="83">
        <f>IF(ISERROR(VLOOKUP(School_Code&amp;"Afr. Amer/Black",School_Data,15,FALSE)),"",(VLOOKUP(School_Code&amp;"Afr. Amer/Black",School_Data,15,FALSE)))</f>
        <v>69.3</v>
      </c>
      <c r="G18" s="83">
        <f>IF(ISERROR(VLOOKUP(School_Code&amp;"Afr. Amer/Black",School_Data,16,FALSE)),"",(VLOOKUP(School_Code&amp;"Afr. Amer/Black",School_Data,16,FALSE)))</f>
        <v>75</v>
      </c>
      <c r="H18" s="83">
        <f>IF(ISERROR(VLOOKUP(School_Code&amp;"Afr. Amer/Black",School_Data,17,FALSE)),"",(VLOOKUP(School_Code&amp;"Afr. Amer/Black",School_Data,17,FALSE)))</f>
        <v>72.3</v>
      </c>
      <c r="I18" s="87">
        <f>IF(ISERROR(VLOOKUP(School_Code&amp;"Afr. Amer/Black",School_Data,18,FALSE)),"",(VLOOKUP(School_Code&amp;"Afr. Amer/Black",School_Data,18,FALSE)))</f>
        <v>75.400000000000006</v>
      </c>
      <c r="J18" s="87">
        <f>IF(ISERROR(VLOOKUP(School_Code&amp;"Afr. Amer/Black",School_Data,19,FALSE)),"",(VLOOKUP(School_Code&amp;"Afr. Amer/Black",School_Data,19,FALSE)))</f>
        <v>78.5</v>
      </c>
      <c r="K18" s="101">
        <f>IF(ISERROR(VLOOKUP(School_Code&amp;"Afr. Amer/Black",School_Data,20,FALSE)),"",(VLOOKUP(School_Code&amp;"Afr. Amer/Black",School_Data,20,FALSE)))</f>
        <v>81.599999999999994</v>
      </c>
      <c r="L18" s="371"/>
    </row>
    <row r="19" spans="2:12" s="3" customFormat="1" ht="15" customHeight="1">
      <c r="B19" s="99" t="s">
        <v>14</v>
      </c>
      <c r="C19" s="82">
        <f>IF(ISERROR(VLOOKUP(School_Code&amp;"Hispanic/Latino",School_Data,12,FALSE)),"",(VLOOKUP(School_Code&amp;"Hispanic/Latino",School_Data,12,FALSE)))</f>
        <v>63.6</v>
      </c>
      <c r="D19" s="83">
        <f>IF(ISERROR(VLOOKUP(School_Code&amp;"Hispanic/Latino",School_Data,13,FALSE)),"",(VLOOKUP(School_Code&amp;"Hispanic/Latino",School_Data,13,FALSE)))</f>
        <v>66.599999999999994</v>
      </c>
      <c r="E19" s="83">
        <f>IF(ISERROR(VLOOKUP(School_Code&amp;"Hispanic/Latino",School_Data,14,FALSE)),"",(VLOOKUP(School_Code&amp;"Hispanic/Latino",School_Data,14,FALSE)))</f>
        <v>68.599999999999994</v>
      </c>
      <c r="F19" s="83">
        <f>IF(ISERROR(VLOOKUP(School_Code&amp;"Hispanic/Latino",School_Data,15,FALSE)),"",(VLOOKUP(School_Code&amp;"Hispanic/Latino",School_Data,15,FALSE)))</f>
        <v>69.7</v>
      </c>
      <c r="G19" s="83">
        <f>IF(ISERROR(VLOOKUP(School_Code&amp;"Hispanic/Latino",School_Data,16,FALSE)),"",(VLOOKUP(School_Code&amp;"Hispanic/Latino",School_Data,16,FALSE)))</f>
        <v>62.9</v>
      </c>
      <c r="H19" s="83">
        <f>IF(ISERROR(VLOOKUP(School_Code&amp;"Hispanic/Latino",School_Data,17,FALSE)),"",(VLOOKUP(School_Code&amp;"Hispanic/Latino",School_Data,17,FALSE)))</f>
        <v>72.7</v>
      </c>
      <c r="I19" s="87">
        <f>IF(ISERROR(VLOOKUP(School_Code&amp;"Hispanic/Latino",School_Data,18,FALSE)),"",(VLOOKUP(School_Code&amp;"Hispanic/Latino",School_Data,18,FALSE)))</f>
        <v>75.7</v>
      </c>
      <c r="J19" s="87">
        <f>IF(ISERROR(VLOOKUP(School_Code&amp;"Hispanic/Latino",School_Data,19,FALSE)),"",(VLOOKUP(School_Code&amp;"Hispanic/Latino",School_Data,19,FALSE)))</f>
        <v>78.8</v>
      </c>
      <c r="K19" s="101">
        <f>IF(ISERROR(VLOOKUP(School_Code&amp;"Hispanic/Latino",School_Data,20,FALSE)),"",(VLOOKUP(School_Code&amp;"Hispanic/Latino",School_Data,20,FALSE)))</f>
        <v>81.8</v>
      </c>
      <c r="L19" s="371"/>
    </row>
    <row r="20" spans="2:12" s="3" customFormat="1" ht="15" customHeight="1">
      <c r="B20" s="99" t="s">
        <v>46</v>
      </c>
      <c r="C20" s="82" t="str">
        <f>IF(ISERROR(VLOOKUP(School_Code&amp;"Multi-race, Non-Hisp./Lat.",School_Data,12,FALSE)),"",(VLOOKUP(School_Code&amp;"Multi-race, Non-Hisp./Lat.",School_Data,12,FALSE)))</f>
        <v>--</v>
      </c>
      <c r="D20" s="83" t="str">
        <f>IF(ISERROR(VLOOKUP(School_Code&amp;"Multi-race, Non-Hisp./Lat.",School_Data,13,FALSE)),"",(VLOOKUP(School_Code&amp;"Multi-race, Non-Hisp./Lat.",School_Data,13,FALSE)))</f>
        <v>--</v>
      </c>
      <c r="E20" s="83" t="str">
        <f>IF(ISERROR(VLOOKUP(School_Code&amp;"Multi-race, Non-Hisp./Lat.",School_Data,14,FALSE)),"",(VLOOKUP(School_Code&amp;"Multi-race, Non-Hisp./Lat.",School_Data,14,FALSE)))</f>
        <v>--</v>
      </c>
      <c r="F20" s="83" t="str">
        <f>IF(ISERROR(VLOOKUP(School_Code&amp;"Multi-race, Non-Hisp./Lat.",School_Data,15,FALSE)),"",(VLOOKUP(School_Code&amp;"Multi-race, Non-Hisp./Lat.",School_Data,15,FALSE)))</f>
        <v>--</v>
      </c>
      <c r="G20" s="83" t="str">
        <f>IF(ISERROR(VLOOKUP(School_Code&amp;"Multi-race, Non-Hisp./Lat.",School_Data,16,FALSE)),"",(VLOOKUP(School_Code&amp;"Multi-race, Non-Hisp./Lat.",School_Data,16,FALSE)))</f>
        <v>--</v>
      </c>
      <c r="H20" s="83" t="str">
        <f>IF(ISERROR(VLOOKUP(School_Code&amp;"Multi-race, Non-Hisp./Lat.",School_Data,17,FALSE)),"",(VLOOKUP(School_Code&amp;"Multi-race, Non-Hisp./Lat.",School_Data,17,FALSE)))</f>
        <v>--</v>
      </c>
      <c r="I20" s="87" t="str">
        <f>IF(ISERROR(VLOOKUP(School_Code&amp;"Multi-race, Non-Hisp./Lat.",School_Data,18,FALSE)),"",(VLOOKUP(School_Code&amp;"Multi-race, Non-Hisp./Lat.",School_Data,18,FALSE)))</f>
        <v>--</v>
      </c>
      <c r="J20" s="87" t="str">
        <f>IF(ISERROR(VLOOKUP(School_Code&amp;"Multi-race, Non-Hisp./Lat.",School_Data,19,FALSE)),"",(VLOOKUP(School_Code&amp;"Multi-race, Non-Hisp./Lat.",School_Data,19,FALSE)))</f>
        <v>--</v>
      </c>
      <c r="K20" s="101" t="str">
        <f>IF(ISERROR(VLOOKUP(School_Code&amp;"Multi-race, Non-Hisp./Lat.",School_Data,20,FALSE)),"",(VLOOKUP(School_Code&amp;"Multi-race, Non-Hisp./Lat.",School_Data,20,FALSE)))</f>
        <v>--</v>
      </c>
      <c r="L20" s="371"/>
    </row>
    <row r="21" spans="2:12" s="3" customFormat="1" ht="15" customHeight="1">
      <c r="B21" s="99" t="s">
        <v>47</v>
      </c>
      <c r="C21" s="82" t="str">
        <f>IF(ISERROR(VLOOKUP(School_Code&amp;"Nat. Haw. or Pacif. Isl.",School_Data,12,FALSE)),"",(VLOOKUP(School_Code&amp;"Nat. Haw. or Pacif. Isl.",School_Data,12,FALSE)))</f>
        <v>--</v>
      </c>
      <c r="D21" s="83" t="str">
        <f>IF(ISERROR(VLOOKUP(School_Code&amp;"Nat. Haw. or Pacif. Isl.",School_Data,13,FALSE)),"",(VLOOKUP(School_Code&amp;"Nat. Haw. or Pacif. Isl.",School_Data,13,FALSE)))</f>
        <v>--</v>
      </c>
      <c r="E21" s="83" t="str">
        <f>IF(ISERROR(VLOOKUP(School_Code&amp;"Nat. Haw. or Pacif. Isl.",School_Data,14,FALSE)),"",(VLOOKUP(School_Code&amp;"Nat. Haw. or Pacif. Isl.",School_Data,14,FALSE)))</f>
        <v>--</v>
      </c>
      <c r="F21" s="83" t="str">
        <f>IF(ISERROR(VLOOKUP(School_Code&amp;"Nat. Haw. or Pacif. Isl.",School_Data,15,FALSE)),"",(VLOOKUP(School_Code&amp;"Nat. Haw. or Pacif. Isl.",School_Data,15,FALSE)))</f>
        <v>--</v>
      </c>
      <c r="G21" s="83" t="str">
        <f>IF(ISERROR(VLOOKUP(School_Code&amp;"Nat. Haw. or Pacif. Isl.",School_Data,16,FALSE)),"",(VLOOKUP(School_Code&amp;"Nat. Haw. or Pacif. Isl.",School_Data,16,FALSE)))</f>
        <v>--</v>
      </c>
      <c r="H21" s="83" t="str">
        <f>IF(ISERROR(VLOOKUP(School_Code&amp;"Nat. Haw. or Pacif. Isl.",School_Data,17,FALSE)),"",(VLOOKUP(School_Code&amp;"Nat. Haw. or Pacif. Isl.",School_Data,17,FALSE)))</f>
        <v>--</v>
      </c>
      <c r="I21" s="87" t="str">
        <f>IF(ISERROR(VLOOKUP(School_Code&amp;"Nat. Haw. or Pacif. Isl.",School_Data,18,FALSE)),"",(VLOOKUP(School_Code&amp;"Nat. Haw. or Pacif. Isl.",School_Data,18,FALSE)))</f>
        <v>--</v>
      </c>
      <c r="J21" s="87" t="str">
        <f>IF(ISERROR(VLOOKUP(School_Code&amp;"Nat. Haw. or Pacif. Isl.",School_Data,19,FALSE)),"",(VLOOKUP(School_Code&amp;"Nat. Haw. or Pacif. Isl.",School_Data,19,FALSE)))</f>
        <v>--</v>
      </c>
      <c r="K21" s="101" t="str">
        <f>IF(ISERROR(VLOOKUP(School_Code&amp;"Nat. Haw. or Pacif. Isl.",School_Data,20,FALSE)),"",(VLOOKUP(School_Code&amp;"Nat. Haw. or Pacif. Isl.",School_Data,20,FALSE)))</f>
        <v>--</v>
      </c>
      <c r="L21" s="371"/>
    </row>
    <row r="22" spans="2:12" s="3" customFormat="1" ht="15" customHeight="1">
      <c r="B22" s="102" t="s">
        <v>17</v>
      </c>
      <c r="C22" s="82">
        <f>IF(ISERROR(VLOOKUP(School_Code&amp;"White",School_Data,12,FALSE)),"",(VLOOKUP(School_Code&amp;"White",School_Data,12,FALSE)))</f>
        <v>69.900000000000006</v>
      </c>
      <c r="D22" s="83">
        <f>IF(ISERROR(VLOOKUP(School_Code&amp;"White",School_Data,13,FALSE)),"",(VLOOKUP(School_Code&amp;"White",School_Data,13,FALSE)))</f>
        <v>72.400000000000006</v>
      </c>
      <c r="E22" s="83">
        <f>IF(ISERROR(VLOOKUP(School_Code&amp;"White",School_Data,14,FALSE)),"",(VLOOKUP(School_Code&amp;"White",School_Data,14,FALSE)))</f>
        <v>71.900000000000006</v>
      </c>
      <c r="F22" s="83">
        <f>IF(ISERROR(VLOOKUP(School_Code&amp;"White",School_Data,15,FALSE)),"",(VLOOKUP(School_Code&amp;"White",School_Data,15,FALSE)))</f>
        <v>74.900000000000006</v>
      </c>
      <c r="G22" s="83">
        <f>IF(ISERROR(VLOOKUP(School_Code&amp;"White",School_Data,16,FALSE)),"",(VLOOKUP(School_Code&amp;"White",School_Data,16,FALSE)))</f>
        <v>68.900000000000006</v>
      </c>
      <c r="H22" s="83">
        <f>IF(ISERROR(VLOOKUP(School_Code&amp;"White",School_Data,17,FALSE)),"",(VLOOKUP(School_Code&amp;"White",School_Data,17,FALSE)))</f>
        <v>77.400000000000006</v>
      </c>
      <c r="I22" s="87">
        <f>IF(ISERROR(VLOOKUP(School_Code&amp;"White",School_Data,18,FALSE)),"",(VLOOKUP(School_Code&amp;"White",School_Data,18,FALSE)))</f>
        <v>79.900000000000006</v>
      </c>
      <c r="J22" s="87">
        <f>IF(ISERROR(VLOOKUP(School_Code&amp;"White",School_Data,19,FALSE)),"",(VLOOKUP(School_Code&amp;"White",School_Data,19,FALSE)))</f>
        <v>82.4</v>
      </c>
      <c r="K22" s="101">
        <f>IF(ISERROR(VLOOKUP(School_Code&amp;"White",School_Data,20,FALSE)),"",(VLOOKUP(School_Code&amp;"White",School_Data,20,FALSE)))</f>
        <v>85</v>
      </c>
      <c r="L22" s="371"/>
    </row>
    <row r="23" spans="2:12" s="3" customFormat="1" ht="100.9" customHeight="1">
      <c r="B23" s="102" t="s">
        <v>48</v>
      </c>
      <c r="C23" s="363">
        <f>IF(ISERROR(VLOOKUP(School_Code&amp;"All students",School_Data,21,FALSE)),"",(VLOOKUP(School_Code&amp;"All students",School_Data,21,FALSE)))</f>
        <v>70</v>
      </c>
      <c r="D23" s="365">
        <f>IF(ISERROR(VLOOKUP(School_Code&amp;"All students",School_Data,22,FALSE)),"",(VLOOKUP(School_Code&amp;"All students",School_Data,22,FALSE)))</f>
        <v>72.5</v>
      </c>
      <c r="E23" s="365">
        <f>IF(ISERROR(VLOOKUP(School_Code&amp;"All students",School_Data,23,FALSE)),"",(VLOOKUP(School_Code&amp;"All students",School_Data,23,FALSE)))</f>
        <v>68.8</v>
      </c>
      <c r="F23" s="365">
        <f>IF(ISERROR(VLOOKUP(School_Code&amp;"All students",School_Data,24,FALSE)),"",(VLOOKUP(School_Code&amp;"All students",School_Data,24,FALSE)))</f>
        <v>75</v>
      </c>
      <c r="G23" s="365">
        <f>IF(ISERROR(VLOOKUP(School_Code&amp;"All students",School_Data,25,FALSE)),"",(VLOOKUP(School_Code&amp;"All students",School_Data,25,FALSE)))</f>
        <v>75</v>
      </c>
      <c r="H23" s="365">
        <f>IF(ISERROR(VLOOKUP(School_Code&amp;"All students",School_Data,26,FALSE)),"",(VLOOKUP(School_Code&amp;"All students",School_Data,26,FALSE)))</f>
        <v>77.5</v>
      </c>
      <c r="I23" s="369">
        <f>IF(ISERROR(VLOOKUP(School_Code&amp;"All students",School_Data,27,FALSE)),"",(VLOOKUP(School_Code&amp;"All students",School_Data,27,FALSE)))</f>
        <v>80</v>
      </c>
      <c r="J23" s="369">
        <f>IF(ISERROR(VLOOKUP(School_Code&amp;"All students",School_Data,28,FALSE)),"",(VLOOKUP(School_Code&amp;"All students",School_Data,28,FALSE)))</f>
        <v>82.5</v>
      </c>
      <c r="K23" s="385">
        <f>IF(ISERROR(VLOOKUP(School_Code&amp;"All students",School_Data,29,FALSE)),"",(VLOOKUP(School_Code&amp;"All students",School_Data,29,FALSE)))</f>
        <v>85</v>
      </c>
      <c r="L23" s="370" t="s">
        <v>319</v>
      </c>
    </row>
    <row r="24" spans="2:12" s="3" customFormat="1" ht="33" hidden="1" customHeight="1">
      <c r="B24" s="98" t="s">
        <v>39</v>
      </c>
      <c r="C24" s="363"/>
      <c r="D24" s="365"/>
      <c r="E24" s="365"/>
      <c r="F24" s="365"/>
      <c r="G24" s="365"/>
      <c r="H24" s="365"/>
      <c r="I24" s="369"/>
      <c r="J24" s="369"/>
      <c r="K24" s="385"/>
      <c r="L24" s="371"/>
    </row>
    <row r="25" spans="2:12" s="3" customFormat="1" ht="15" customHeight="1">
      <c r="B25" s="99" t="s">
        <v>16</v>
      </c>
      <c r="C25" s="82">
        <f>IF(ISERROR(VLOOKUP(School_Code&amp;"High needs",School_Data,21,FALSE)),"",(VLOOKUP(School_Code&amp;"High needs",School_Data,21,FALSE)))</f>
        <v>67.900000000000006</v>
      </c>
      <c r="D25" s="83">
        <f>IF(ISERROR(VLOOKUP(School_Code&amp;"High needs",School_Data,22,FALSE)),"",(VLOOKUP(School_Code&amp;"High needs",School_Data,22,FALSE)))</f>
        <v>70.599999999999994</v>
      </c>
      <c r="E25" s="83">
        <f>IF(ISERROR(VLOOKUP(School_Code&amp;"High needs",School_Data,23,FALSE)),"",(VLOOKUP(School_Code&amp;"High needs",School_Data,23,FALSE)))</f>
        <v>67.5</v>
      </c>
      <c r="F25" s="83">
        <f>IF(ISERROR(VLOOKUP(School_Code&amp;"High needs",School_Data,24,FALSE)),"",(VLOOKUP(School_Code&amp;"High needs",School_Data,24,FALSE)))</f>
        <v>73.3</v>
      </c>
      <c r="G25" s="83">
        <f>IF(ISERROR(VLOOKUP(School_Code&amp;"High needs",School_Data,25,FALSE)),"",(VLOOKUP(School_Code&amp;"High needs",School_Data,25,FALSE)))</f>
        <v>75.2</v>
      </c>
      <c r="H25" s="83">
        <f>IF(ISERROR(VLOOKUP(School_Code&amp;"High needs",School_Data,26,FALSE)),"",(VLOOKUP(School_Code&amp;"High needs",School_Data,26,FALSE)))</f>
        <v>75.900000000000006</v>
      </c>
      <c r="I25" s="83">
        <f>IF(ISERROR(VLOOKUP(School_Code&amp;"High needs",School_Data,27,FALSE)),"",(VLOOKUP(School_Code&amp;"High needs",School_Data,27,FALSE)))</f>
        <v>78.599999999999994</v>
      </c>
      <c r="J25" s="83">
        <f>IF(ISERROR(VLOOKUP(School_Code&amp;"High needs",School_Data,28,FALSE)),"",(VLOOKUP(School_Code&amp;"High needs",School_Data,28,FALSE)))</f>
        <v>81.3</v>
      </c>
      <c r="K25" s="100">
        <f>IF(ISERROR(VLOOKUP(School_Code&amp;"High needs",School_Data,29,FALSE)),"",(VLOOKUP(School_Code&amp;"High needs",School_Data,29,FALSE)))</f>
        <v>84</v>
      </c>
      <c r="L25" s="371"/>
    </row>
    <row r="26" spans="2:12" s="3" customFormat="1" ht="15" customHeight="1">
      <c r="B26" s="99" t="s">
        <v>13</v>
      </c>
      <c r="C26" s="82">
        <f>IF(ISERROR(VLOOKUP(School_Code&amp;"Low income",School_Data,21,FALSE)),"",(VLOOKUP(School_Code&amp;"Low income",School_Data,21,FALSE)))</f>
        <v>67.8</v>
      </c>
      <c r="D26" s="83">
        <f>IF(ISERROR(VLOOKUP(School_Code&amp;"Low income",School_Data,22,FALSE)),"",(VLOOKUP(School_Code&amp;"Low income",School_Data,22,FALSE)))</f>
        <v>70.5</v>
      </c>
      <c r="E26" s="83">
        <f>IF(ISERROR(VLOOKUP(School_Code&amp;"Low income",School_Data,23,FALSE)),"",(VLOOKUP(School_Code&amp;"Low income",School_Data,23,FALSE)))</f>
        <v>67.2</v>
      </c>
      <c r="F26" s="83">
        <f>IF(ISERROR(VLOOKUP(School_Code&amp;"Low income",School_Data,24,FALSE)),"",(VLOOKUP(School_Code&amp;"Low income",School_Data,24,FALSE)))</f>
        <v>73.2</v>
      </c>
      <c r="G26" s="83">
        <f>IF(ISERROR(VLOOKUP(School_Code&amp;"Low income",School_Data,25,FALSE)),"",(VLOOKUP(School_Code&amp;"Low income",School_Data,25,FALSE)))</f>
        <v>75.3</v>
      </c>
      <c r="H26" s="83">
        <f>IF(ISERROR(VLOOKUP(School_Code&amp;"Low income",School_Data,26,FALSE)),"",(VLOOKUP(School_Code&amp;"Low income",School_Data,26,FALSE)))</f>
        <v>75.900000000000006</v>
      </c>
      <c r="I26" s="83">
        <f>IF(ISERROR(VLOOKUP(School_Code&amp;"Low income",School_Data,27,FALSE)),"",(VLOOKUP(School_Code&amp;"Low income",School_Data,27,FALSE)))</f>
        <v>78.5</v>
      </c>
      <c r="J26" s="83">
        <f>IF(ISERROR(VLOOKUP(School_Code&amp;"Low income",School_Data,28,FALSE)),"",(VLOOKUP(School_Code&amp;"Low income",School_Data,28,FALSE)))</f>
        <v>81.2</v>
      </c>
      <c r="K26" s="100">
        <f>IF(ISERROR(VLOOKUP(School_Code&amp;"Low income",School_Data,29,FALSE)),"",(VLOOKUP(School_Code&amp;"Low income",School_Data,29,FALSE)))</f>
        <v>83.9</v>
      </c>
      <c r="L26" s="371"/>
    </row>
    <row r="27" spans="2:12" s="3" customFormat="1" ht="15" customHeight="1">
      <c r="B27" s="99" t="s">
        <v>15</v>
      </c>
      <c r="C27" s="82" t="str">
        <f>IF(ISERROR(VLOOKUP(School_Code&amp;"ELL and Former ELL",School_Data,21,FALSE)),"",(VLOOKUP(School_Code&amp;"ELL and Former ELL",School_Data,21,FALSE)))</f>
        <v>--</v>
      </c>
      <c r="D27" s="83" t="str">
        <f>IF(ISERROR(VLOOKUP(School_Code&amp;"ELL and Former ELL",School_Data,22,FALSE)),"",(VLOOKUP(School_Code&amp;"ELL and Former ELL",School_Data,22,FALSE)))</f>
        <v>--</v>
      </c>
      <c r="E27" s="83" t="str">
        <f>IF(ISERROR(VLOOKUP(School_Code&amp;"ELL and Former ELL",School_Data,23,FALSE)),"",(VLOOKUP(School_Code&amp;"ELL and Former ELL",School_Data,23,FALSE)))</f>
        <v>--</v>
      </c>
      <c r="F27" s="83" t="str">
        <f>IF(ISERROR(VLOOKUP(School_Code&amp;"ELL and Former ELL",School_Data,24,FALSE)),"",(VLOOKUP(School_Code&amp;"ELL and Former ELL",School_Data,24,FALSE)))</f>
        <v>--</v>
      </c>
      <c r="G27" s="83" t="str">
        <f>IF(ISERROR(VLOOKUP(School_Code&amp;"ELL and Former ELL",School_Data,25,FALSE)),"",(VLOOKUP(School_Code&amp;"ELL and Former ELL",School_Data,25,FALSE)))</f>
        <v>--</v>
      </c>
      <c r="H27" s="83" t="str">
        <f>IF(ISERROR(VLOOKUP(School_Code&amp;"ELL and Former ELL",School_Data,26,FALSE)),"",(VLOOKUP(School_Code&amp;"ELL and Former ELL",School_Data,26,FALSE)))</f>
        <v>--</v>
      </c>
      <c r="I27" s="87" t="str">
        <f>IF(ISERROR(VLOOKUP(School_Code&amp;"ELL and Former ELL",School_Data,27,FALSE)),"",(VLOOKUP(School_Code&amp;"ELL and Former ELL",School_Data,27,FALSE)))</f>
        <v>--</v>
      </c>
      <c r="J27" s="87" t="str">
        <f>IF(ISERROR(VLOOKUP(School_Code&amp;"ELL and Former ELL",School_Data,28,FALSE)),"",(VLOOKUP(School_Code&amp;"ELL and Former ELL",School_Data,28,FALSE)))</f>
        <v>--</v>
      </c>
      <c r="K27" s="101" t="str">
        <f>IF(ISERROR(VLOOKUP(School_Code&amp;"ELL and Former ELL",School_Data,29,FALSE)),"",(VLOOKUP(School_Code&amp;"ELL and Former ELL",School_Data,29,FALSE)))</f>
        <v>--</v>
      </c>
      <c r="L27" s="371"/>
    </row>
    <row r="28" spans="2:12" s="3" customFormat="1" ht="15" customHeight="1">
      <c r="B28" s="99" t="s">
        <v>12</v>
      </c>
      <c r="C28" s="82">
        <f>IF(ISERROR(VLOOKUP(School_Code&amp;"Students w/disabilities",School_Data,21,FALSE)),"",(VLOOKUP(School_Code&amp;"Students w/disabilities",School_Data,21,FALSE)))</f>
        <v>52.3</v>
      </c>
      <c r="D28" s="83">
        <f>IF(ISERROR(VLOOKUP(School_Code&amp;"Students w/disabilities",School_Data,22,FALSE)),"",(VLOOKUP(School_Code&amp;"Students w/disabilities",School_Data,22,FALSE)))</f>
        <v>56.3</v>
      </c>
      <c r="E28" s="83">
        <f>IF(ISERROR(VLOOKUP(School_Code&amp;"Students w/disabilities",School_Data,23,FALSE)),"",(VLOOKUP(School_Code&amp;"Students w/disabilities",School_Data,23,FALSE)))</f>
        <v>48</v>
      </c>
      <c r="F28" s="83">
        <f>IF(ISERROR(VLOOKUP(School_Code&amp;"Students w/disabilities",School_Data,24,FALSE)),"",(VLOOKUP(School_Code&amp;"Students w/disabilities",School_Data,24,FALSE)))</f>
        <v>60.3</v>
      </c>
      <c r="G28" s="83">
        <f>IF(ISERROR(VLOOKUP(School_Code&amp;"Students w/disabilities",School_Data,25,FALSE)),"",(VLOOKUP(School_Code&amp;"Students w/disabilities",School_Data,25,FALSE)))</f>
        <v>54.3</v>
      </c>
      <c r="H28" s="83">
        <f>IF(ISERROR(VLOOKUP(School_Code&amp;"Students w/disabilities",School_Data,26,FALSE)),"",(VLOOKUP(School_Code&amp;"Students w/disabilities",School_Data,26,FALSE)))</f>
        <v>64.2</v>
      </c>
      <c r="I28" s="87">
        <f>IF(ISERROR(VLOOKUP(School_Code&amp;"Students w/disabilities",School_Data,27,FALSE)),"",(VLOOKUP(School_Code&amp;"Students w/disabilities",School_Data,27,FALSE)))</f>
        <v>68.2</v>
      </c>
      <c r="J28" s="87">
        <f>IF(ISERROR(VLOOKUP(School_Code&amp;"Students w/disabilities",School_Data,28,FALSE)),"",(VLOOKUP(School_Code&amp;"Students w/disabilities",School_Data,28,FALSE)))</f>
        <v>72.2</v>
      </c>
      <c r="K28" s="101">
        <f>IF(ISERROR(VLOOKUP(School_Code&amp;"Students w/disabilities",School_Data,29,FALSE)),"",(VLOOKUP(School_Code&amp;"Students w/disabilities",School_Data,29,FALSE)))</f>
        <v>76.2</v>
      </c>
      <c r="L28" s="371"/>
    </row>
    <row r="29" spans="2:12" s="3" customFormat="1" ht="15" customHeight="1">
      <c r="B29" s="99" t="s">
        <v>44</v>
      </c>
      <c r="C29" s="82" t="str">
        <f>IF(ISERROR(VLOOKUP(School_Code&amp;"Amer. Ind. or Alaska Nat.",School_Data,21,FALSE)),"",(VLOOKUP(School_Code&amp;"Amer. Ind. or Alaska Nat.",School_Data,21,FALSE)))</f>
        <v>--</v>
      </c>
      <c r="D29" s="83" t="str">
        <f>IF(ISERROR(VLOOKUP(School_Code&amp;"Amer. Ind. or Alaska Nat.",School_Data,22,FALSE)),"",(VLOOKUP(School_Code&amp;"Amer. Ind. or Alaska Nat.",School_Data,22,FALSE)))</f>
        <v>--</v>
      </c>
      <c r="E29" s="83" t="str">
        <f>IF(ISERROR(VLOOKUP(School_Code&amp;"Amer. Ind. or Alaska Nat.",School_Data,23,FALSE)),"",(VLOOKUP(School_Code&amp;"Amer. Ind. or Alaska Nat.",School_Data,23,FALSE)))</f>
        <v>--</v>
      </c>
      <c r="F29" s="83" t="str">
        <f>IF(ISERROR(VLOOKUP(School_Code&amp;"Amer. Ind. or Alaska Nat.",School_Data,24,FALSE)),"",(VLOOKUP(School_Code&amp;"Amer. Ind. or Alaska Nat.",School_Data,24,FALSE)))</f>
        <v>--</v>
      </c>
      <c r="G29" s="83" t="str">
        <f>IF(ISERROR(VLOOKUP(School_Code&amp;"Amer. Ind. or Alaska Nat.",School_Data,25,FALSE)),"",(VLOOKUP(School_Code&amp;"Amer. Ind. or Alaska Nat.",School_Data,25,FALSE)))</f>
        <v>--</v>
      </c>
      <c r="H29" s="83" t="str">
        <f>IF(ISERROR(VLOOKUP(School_Code&amp;"Amer. Ind. or Alaska Nat.",School_Data,26,FALSE)),"",(VLOOKUP(School_Code&amp;"Amer. Ind. or Alaska Nat.",School_Data,26,FALSE)))</f>
        <v>--</v>
      </c>
      <c r="I29" s="87" t="str">
        <f>IF(ISERROR(VLOOKUP(School_Code&amp;"Amer. Ind. or Alaska Nat.",School_Data,27,FALSE)),"",(VLOOKUP(School_Code&amp;"Amer. Ind. or Alaska Nat.",School_Data,27,FALSE)))</f>
        <v>--</v>
      </c>
      <c r="J29" s="87" t="str">
        <f>IF(ISERROR(VLOOKUP(School_Code&amp;"Amer. Ind. or Alaska Nat.",School_Data,28,FALSE)),"",(VLOOKUP(School_Code&amp;"Amer. Ind. or Alaska Nat.",School_Data,28,FALSE)))</f>
        <v>--</v>
      </c>
      <c r="K29" s="101" t="str">
        <f>IF(ISERROR(VLOOKUP(School_Code&amp;"Amer. Ind. or Alaska Nat.",School_Data,29,FALSE)),"",(VLOOKUP(School_Code&amp;"Amer. Ind. or Alaska Nat.",School_Data,29,FALSE)))</f>
        <v>--</v>
      </c>
      <c r="L29" s="371"/>
    </row>
    <row r="30" spans="2:12" s="3" customFormat="1" ht="15" customHeight="1">
      <c r="B30" s="99" t="s">
        <v>45</v>
      </c>
      <c r="C30" s="82" t="str">
        <f>IF(ISERROR(VLOOKUP(School_Code&amp;"Asian",School_Data,21,FALSE)),"",(VLOOKUP(School_Code&amp;"Asian",School_Data,21,FALSE)))</f>
        <v>--</v>
      </c>
      <c r="D30" s="83" t="str">
        <f>IF(ISERROR(VLOOKUP(School_Code&amp;"Asian",School_Data,22,FALSE)),"",(VLOOKUP(School_Code&amp;"Asian",School_Data,22,FALSE)))</f>
        <v>--</v>
      </c>
      <c r="E30" s="83" t="str">
        <f>IF(ISERROR(VLOOKUP(School_Code&amp;"Asian",School_Data,23,FALSE)),"",(VLOOKUP(School_Code&amp;"Asian",School_Data,23,FALSE)))</f>
        <v>--</v>
      </c>
      <c r="F30" s="83" t="str">
        <f>IF(ISERROR(VLOOKUP(School_Code&amp;"Asian",School_Data,24,FALSE)),"",(VLOOKUP(School_Code&amp;"Asian",School_Data,24,FALSE)))</f>
        <v>--</v>
      </c>
      <c r="G30" s="83" t="str">
        <f>IF(ISERROR(VLOOKUP(School_Code&amp;"Asian",School_Data,25,FALSE)),"",(VLOOKUP(School_Code&amp;"Asian",School_Data,25,FALSE)))</f>
        <v>--</v>
      </c>
      <c r="H30" s="83" t="str">
        <f>IF(ISERROR(VLOOKUP(School_Code&amp;"Asian",School_Data,26,FALSE)),"",(VLOOKUP(School_Code&amp;"Asian",School_Data,26,FALSE)))</f>
        <v>--</v>
      </c>
      <c r="I30" s="87" t="str">
        <f>IF(ISERROR(VLOOKUP(School_Code&amp;"Asian",School_Data,27,FALSE)),"",(VLOOKUP(School_Code&amp;"Asian",School_Data,27,FALSE)))</f>
        <v>--</v>
      </c>
      <c r="J30" s="87" t="str">
        <f>IF(ISERROR(VLOOKUP(School_Code&amp;"Asian",School_Data,28,FALSE)),"",(VLOOKUP(School_Code&amp;"Asian",School_Data,28,FALSE)))</f>
        <v>--</v>
      </c>
      <c r="K30" s="101" t="str">
        <f>IF(ISERROR(VLOOKUP(School_Code&amp;"Asian",School_Data,29,FALSE)),"",(VLOOKUP(School_Code&amp;"Asian",School_Data,29,FALSE)))</f>
        <v>--</v>
      </c>
      <c r="L30" s="371"/>
    </row>
    <row r="31" spans="2:12" s="3" customFormat="1" ht="15" customHeight="1">
      <c r="B31" s="99" t="s">
        <v>11</v>
      </c>
      <c r="C31" s="82">
        <f>IF(ISERROR(VLOOKUP(School_Code&amp;"Afr. Amer/Black",School_Data,21,FALSE)),"",(VLOOKUP(School_Code&amp;"Afr. Amer/Black",School_Data,21,FALSE)))</f>
        <v>66.7</v>
      </c>
      <c r="D31" s="83">
        <f>IF(ISERROR(VLOOKUP(School_Code&amp;"Afr. Amer/Black",School_Data,22,FALSE)),"",(VLOOKUP(School_Code&amp;"Afr. Amer/Black",School_Data,22,FALSE)))</f>
        <v>69.5</v>
      </c>
      <c r="E31" s="83">
        <f>IF(ISERROR(VLOOKUP(School_Code&amp;"Afr. Amer/Black",School_Data,23,FALSE)),"",(VLOOKUP(School_Code&amp;"Afr. Amer/Black",School_Data,23,FALSE)))</f>
        <v>56.6</v>
      </c>
      <c r="F31" s="83">
        <f>IF(ISERROR(VLOOKUP(School_Code&amp;"Afr. Amer/Black",School_Data,24,FALSE)),"",(VLOOKUP(School_Code&amp;"Afr. Amer/Black",School_Data,24,FALSE)))</f>
        <v>72.3</v>
      </c>
      <c r="G31" s="83">
        <f>IF(ISERROR(VLOOKUP(School_Code&amp;"Afr. Amer/Black",School_Data,25,FALSE)),"",(VLOOKUP(School_Code&amp;"Afr. Amer/Black",School_Data,25,FALSE)))</f>
        <v>75</v>
      </c>
      <c r="H31" s="83">
        <f>IF(ISERROR(VLOOKUP(School_Code&amp;"Afr. Amer/Black",School_Data,26,FALSE)),"",(VLOOKUP(School_Code&amp;"Afr. Amer/Black",School_Data,26,FALSE)))</f>
        <v>75</v>
      </c>
      <c r="I31" s="87">
        <f>IF(ISERROR(VLOOKUP(School_Code&amp;"Afr. Amer/Black",School_Data,27,FALSE)),"",(VLOOKUP(School_Code&amp;"Afr. Amer/Black",School_Data,27,FALSE)))</f>
        <v>77.8</v>
      </c>
      <c r="J31" s="87">
        <f>IF(ISERROR(VLOOKUP(School_Code&amp;"Afr. Amer/Black",School_Data,28,FALSE)),"",(VLOOKUP(School_Code&amp;"Afr. Amer/Black",School_Data,28,FALSE)))</f>
        <v>80.599999999999994</v>
      </c>
      <c r="K31" s="101">
        <f>IF(ISERROR(VLOOKUP(School_Code&amp;"Afr. Amer/Black",School_Data,29,FALSE)),"",(VLOOKUP(School_Code&amp;"Afr. Amer/Black",School_Data,29,FALSE)))</f>
        <v>83.4</v>
      </c>
      <c r="L31" s="371"/>
    </row>
    <row r="32" spans="2:12" s="3" customFormat="1" ht="15" customHeight="1">
      <c r="B32" s="99" t="s">
        <v>14</v>
      </c>
      <c r="C32" s="82">
        <f>IF(ISERROR(VLOOKUP(School_Code&amp;"Hispanic/Latino",School_Data,21,FALSE)),"",(VLOOKUP(School_Code&amp;"Hispanic/Latino",School_Data,21,FALSE)))</f>
        <v>62.9</v>
      </c>
      <c r="D32" s="83">
        <f>IF(ISERROR(VLOOKUP(School_Code&amp;"Hispanic/Latino",School_Data,22,FALSE)),"",(VLOOKUP(School_Code&amp;"Hispanic/Latino",School_Data,22,FALSE)))</f>
        <v>66</v>
      </c>
      <c r="E32" s="83">
        <f>IF(ISERROR(VLOOKUP(School_Code&amp;"Hispanic/Latino",School_Data,23,FALSE)),"",(VLOOKUP(School_Code&amp;"Hispanic/Latino",School_Data,23,FALSE)))</f>
        <v>64.7</v>
      </c>
      <c r="F32" s="83">
        <f>IF(ISERROR(VLOOKUP(School_Code&amp;"Hispanic/Latino",School_Data,24,FALSE)),"",(VLOOKUP(School_Code&amp;"Hispanic/Latino",School_Data,24,FALSE)))</f>
        <v>69.099999999999994</v>
      </c>
      <c r="G32" s="83">
        <f>IF(ISERROR(VLOOKUP(School_Code&amp;"Hispanic/Latino",School_Data,25,FALSE)),"",(VLOOKUP(School_Code&amp;"Hispanic/Latino",School_Data,25,FALSE)))</f>
        <v>71.2</v>
      </c>
      <c r="H32" s="83">
        <f>IF(ISERROR(VLOOKUP(School_Code&amp;"Hispanic/Latino",School_Data,26,FALSE)),"",(VLOOKUP(School_Code&amp;"Hispanic/Latino",School_Data,26,FALSE)))</f>
        <v>72.2</v>
      </c>
      <c r="I32" s="87">
        <f>IF(ISERROR(VLOOKUP(School_Code&amp;"Hispanic/Latino",School_Data,27,FALSE)),"",(VLOOKUP(School_Code&amp;"Hispanic/Latino",School_Data,27,FALSE)))</f>
        <v>75.3</v>
      </c>
      <c r="J32" s="87">
        <f>IF(ISERROR(VLOOKUP(School_Code&amp;"Hispanic/Latino",School_Data,28,FALSE)),"",(VLOOKUP(School_Code&amp;"Hispanic/Latino",School_Data,28,FALSE)))</f>
        <v>78.400000000000006</v>
      </c>
      <c r="K32" s="101">
        <f>IF(ISERROR(VLOOKUP(School_Code&amp;"Hispanic/Latino",School_Data,29,FALSE)),"",(VLOOKUP(School_Code&amp;"Hispanic/Latino",School_Data,29,FALSE)))</f>
        <v>81.5</v>
      </c>
      <c r="L32" s="371"/>
    </row>
    <row r="33" spans="2:12" s="3" customFormat="1" ht="15" customHeight="1">
      <c r="B33" s="99" t="s">
        <v>46</v>
      </c>
      <c r="C33" s="82" t="str">
        <f>IF(ISERROR(VLOOKUP(School_Code&amp;"Multi-race, Non-Hisp./Lat.",School_Data,21,FALSE)),"",(VLOOKUP(School_Code&amp;"Multi-race, Non-Hisp./Lat.",School_Data,21,FALSE)))</f>
        <v>--</v>
      </c>
      <c r="D33" s="83" t="str">
        <f>IF(ISERROR(VLOOKUP(School_Code&amp;"Multi-race, Non-Hisp./Lat.",School_Data,22,FALSE)),"",(VLOOKUP(School_Code&amp;"Multi-race, Non-Hisp./Lat.",School_Data,22,FALSE)))</f>
        <v>--</v>
      </c>
      <c r="E33" s="83" t="str">
        <f>IF(ISERROR(VLOOKUP(School_Code&amp;"Multi-race, Non-Hisp./Lat.",School_Data,23,FALSE)),"",(VLOOKUP(School_Code&amp;"Multi-race, Non-Hisp./Lat.",School_Data,23,FALSE)))</f>
        <v>--</v>
      </c>
      <c r="F33" s="83" t="str">
        <f>IF(ISERROR(VLOOKUP(School_Code&amp;"Multi-race, Non-Hisp./Lat.",School_Data,24,FALSE)),"",(VLOOKUP(School_Code&amp;"Multi-race, Non-Hisp./Lat.",School_Data,24,FALSE)))</f>
        <v>--</v>
      </c>
      <c r="G33" s="83" t="str">
        <f>IF(ISERROR(VLOOKUP(School_Code&amp;"Multi-race, Non-Hisp./Lat.",School_Data,25,FALSE)),"",(VLOOKUP(School_Code&amp;"Multi-race, Non-Hisp./Lat.",School_Data,25,FALSE)))</f>
        <v>--</v>
      </c>
      <c r="H33" s="83" t="str">
        <f>IF(ISERROR(VLOOKUP(School_Code&amp;"Multi-race, Non-Hisp./Lat.",School_Data,26,FALSE)),"",(VLOOKUP(School_Code&amp;"Multi-race, Non-Hisp./Lat.",School_Data,26,FALSE)))</f>
        <v>--</v>
      </c>
      <c r="I33" s="87" t="str">
        <f>IF(ISERROR(VLOOKUP(School_Code&amp;"Multi-race, Non-Hisp./Lat.",School_Data,27,FALSE)),"",(VLOOKUP(School_Code&amp;"Multi-race, Non-Hisp./Lat.",School_Data,27,FALSE)))</f>
        <v>--</v>
      </c>
      <c r="J33" s="87" t="str">
        <f>IF(ISERROR(VLOOKUP(School_Code&amp;"Multi-race, Non-Hisp./Lat.",School_Data,28,FALSE)),"",(VLOOKUP(School_Code&amp;"Multi-race, Non-Hisp./Lat.",School_Data,28,FALSE)))</f>
        <v>--</v>
      </c>
      <c r="K33" s="101" t="str">
        <f>IF(ISERROR(VLOOKUP(School_Code&amp;"Multi-race, Non-Hisp./Lat.",School_Data,29,FALSE)),"",(VLOOKUP(School_Code&amp;"Multi-race, Non-Hisp./Lat.",School_Data,29,FALSE)))</f>
        <v>--</v>
      </c>
      <c r="L33" s="371"/>
    </row>
    <row r="34" spans="2:12" s="3" customFormat="1" ht="15" customHeight="1">
      <c r="B34" s="99" t="s">
        <v>47</v>
      </c>
      <c r="C34" s="82" t="str">
        <f>IF(ISERROR(VLOOKUP(School_Code&amp;"Nat. Haw. or Pacif. Isl.",School_Data,21,FALSE)),"",(VLOOKUP(School_Code&amp;"Nat. Haw. or Pacif. Isl.",School_Data,21,FALSE)))</f>
        <v>--</v>
      </c>
      <c r="D34" s="83" t="str">
        <f>IF(ISERROR(VLOOKUP(School_Code&amp;"Nat. Haw. or Pacif. Isl.",School_Data,22,FALSE)),"",(VLOOKUP(School_Code&amp;"Nat. Haw. or Pacif. Isl.",School_Data,22,FALSE)))</f>
        <v>--</v>
      </c>
      <c r="E34" s="83" t="str">
        <f>IF(ISERROR(VLOOKUP(School_Code&amp;"Nat. Haw. or Pacif. Isl.",School_Data,23,FALSE)),"",(VLOOKUP(School_Code&amp;"Nat. Haw. or Pacif. Isl.",School_Data,23,FALSE)))</f>
        <v>--</v>
      </c>
      <c r="F34" s="83" t="str">
        <f>IF(ISERROR(VLOOKUP(School_Code&amp;"Nat. Haw. or Pacif. Isl.",School_Data,24,FALSE)),"",(VLOOKUP(School_Code&amp;"Nat. Haw. or Pacif. Isl.",School_Data,24,FALSE)))</f>
        <v>--</v>
      </c>
      <c r="G34" s="83" t="str">
        <f>IF(ISERROR(VLOOKUP(School_Code&amp;"Nat. Haw. or Pacif. Isl.",School_Data,25,FALSE)),"",(VLOOKUP(School_Code&amp;"Nat. Haw. or Pacif. Isl.",School_Data,25,FALSE)))</f>
        <v>--</v>
      </c>
      <c r="H34" s="83" t="str">
        <f>IF(ISERROR(VLOOKUP(School_Code&amp;"Nat. Haw. or Pacif. Isl.",School_Data,26,FALSE)),"",(VLOOKUP(School_Code&amp;"Nat. Haw. or Pacif. Isl.",School_Data,26,FALSE)))</f>
        <v>--</v>
      </c>
      <c r="I34" s="87" t="str">
        <f>IF(ISERROR(VLOOKUP(School_Code&amp;"Nat. Haw. or Pacif. Isl.",School_Data,27,FALSE)),"",(VLOOKUP(School_Code&amp;"Nat. Haw. or Pacif. Isl.",School_Data,27,FALSE)))</f>
        <v>--</v>
      </c>
      <c r="J34" s="87" t="str">
        <f>IF(ISERROR(VLOOKUP(School_Code&amp;"Nat. Haw. or Pacif. Isl.",School_Data,28,FALSE)),"",(VLOOKUP(School_Code&amp;"Nat. Haw. or Pacif. Isl.",School_Data,28,FALSE)))</f>
        <v>--</v>
      </c>
      <c r="K34" s="101" t="str">
        <f>IF(ISERROR(VLOOKUP(School_Code&amp;"Nat. Haw. or Pacif. Isl.",School_Data,29,FALSE)),"",(VLOOKUP(School_Code&amp;"Nat. Haw. or Pacif. Isl.",School_Data,29,FALSE)))</f>
        <v>--</v>
      </c>
      <c r="L34" s="371"/>
    </row>
    <row r="35" spans="2:12" s="3" customFormat="1" ht="15" customHeight="1">
      <c r="B35" s="110" t="s">
        <v>17</v>
      </c>
      <c r="C35" s="105">
        <f>IF(ISERROR(VLOOKUP(School_Code&amp;"White",School_Data,21,FALSE)),"",(VLOOKUP(School_Code&amp;"White",School_Data,21,FALSE)))</f>
        <v>73.900000000000006</v>
      </c>
      <c r="D35" s="107">
        <f>IF(ISERROR(VLOOKUP(School_Code&amp;"White",School_Data,22,FALSE)),"",(VLOOKUP(School_Code&amp;"White",School_Data,22,FALSE)))</f>
        <v>76.099999999999994</v>
      </c>
      <c r="E35" s="107">
        <f>IF(ISERROR(VLOOKUP(School_Code&amp;"White",School_Data,23,FALSE)),"",(VLOOKUP(School_Code&amp;"White",School_Data,23,FALSE)))</f>
        <v>75.599999999999994</v>
      </c>
      <c r="F35" s="107">
        <f>IF(ISERROR(VLOOKUP(School_Code&amp;"White",School_Data,24,FALSE)),"",(VLOOKUP(School_Code&amp;"White",School_Data,24,FALSE)))</f>
        <v>78.3</v>
      </c>
      <c r="G35" s="107">
        <f>IF(ISERROR(VLOOKUP(School_Code&amp;"White",School_Data,25,FALSE)),"",(VLOOKUP(School_Code&amp;"White",School_Data,25,FALSE)))</f>
        <v>76</v>
      </c>
      <c r="H35" s="107">
        <f>IF(ISERROR(VLOOKUP(School_Code&amp;"White",School_Data,26,FALSE)),"",(VLOOKUP(School_Code&amp;"White",School_Data,26,FALSE)))</f>
        <v>80.400000000000006</v>
      </c>
      <c r="I35" s="111">
        <f>IF(ISERROR(VLOOKUP(School_Code&amp;"White",School_Data,27,FALSE)),"",(VLOOKUP(School_Code&amp;"White",School_Data,27,FALSE)))</f>
        <v>82.6</v>
      </c>
      <c r="J35" s="111">
        <f>IF(ISERROR(VLOOKUP(School_Code&amp;"White",School_Data,28,FALSE)),"",(VLOOKUP(School_Code&amp;"White",School_Data,28,FALSE)))</f>
        <v>84.8</v>
      </c>
      <c r="K35" s="112">
        <f>IF(ISERROR(VLOOKUP(School_Code&amp;"White",School_Data,29,FALSE)),"",(VLOOKUP(School_Code&amp;"White",School_Data,29,FALSE)))</f>
        <v>87</v>
      </c>
      <c r="L35" s="372"/>
    </row>
    <row r="36" spans="2:12" s="3" customFormat="1" ht="98.45" customHeight="1">
      <c r="B36" s="97" t="s">
        <v>49</v>
      </c>
      <c r="C36" s="299">
        <f>IF(ISERROR(VLOOKUP(School_Code&amp;"All students",School_Data,30,FALSE)),"",(VLOOKUP(School_Code&amp;"All students",School_Data,30,FALSE)))</f>
        <v>58.3</v>
      </c>
      <c r="D36" s="364">
        <f>IF(ISERROR(VLOOKUP(School_Code&amp;"All students",School_Data,31,FALSE)),"",(VLOOKUP(School_Code&amp;"All students",School_Data,31,FALSE)))</f>
        <v>61.8</v>
      </c>
      <c r="E36" s="364">
        <f>IF(ISERROR(VLOOKUP(School_Code&amp;"All students",School_Data,32,FALSE)),"",(VLOOKUP(School_Code&amp;"All students",School_Data,32,FALSE)))</f>
        <v>66</v>
      </c>
      <c r="F36" s="364">
        <f>IF(ISERROR(VLOOKUP(School_Code&amp;"All students",School_Data,33,FALSE)),"",(VLOOKUP(School_Code&amp;"All students",School_Data,33,FALSE)))</f>
        <v>65.3</v>
      </c>
      <c r="G36" s="364">
        <f>IF(ISERROR(VLOOKUP(School_Code&amp;"All students",School_Data,34,FALSE)),"",(VLOOKUP(School_Code&amp;"All students",School_Data,34,FALSE)))</f>
        <v>73</v>
      </c>
      <c r="H36" s="364">
        <f>IF(ISERROR(VLOOKUP(School_Code&amp;"All students",School_Data,35,FALSE)),"",(VLOOKUP(School_Code&amp;"All students",School_Data,35,FALSE)))</f>
        <v>68.7</v>
      </c>
      <c r="I36" s="321">
        <f>IF(ISERROR(VLOOKUP(School_Code&amp;"All students",School_Data,36,FALSE)),"",(VLOOKUP(School_Code&amp;"All students",School_Data,36,FALSE)))</f>
        <v>72.2</v>
      </c>
      <c r="J36" s="321">
        <f>IF(ISERROR(VLOOKUP(School_Code&amp;"All students",School_Data,37,FALSE)),"",(VLOOKUP(School_Code&amp;"All students",School_Data,37,FALSE)))</f>
        <v>75.7</v>
      </c>
      <c r="K36" s="384">
        <f>IF(ISERROR(VLOOKUP(School_Code&amp;"All students",School_Data,38,FALSE)),"",(VLOOKUP(School_Code&amp;"All students",School_Data,38,FALSE)))</f>
        <v>79.2</v>
      </c>
      <c r="L36" s="361" t="s">
        <v>319</v>
      </c>
    </row>
    <row r="37" spans="2:12" s="3" customFormat="1" ht="25.5" hidden="1" customHeight="1">
      <c r="B37" s="98" t="s">
        <v>39</v>
      </c>
      <c r="C37" s="363"/>
      <c r="D37" s="365"/>
      <c r="E37" s="365"/>
      <c r="F37" s="365"/>
      <c r="G37" s="365"/>
      <c r="H37" s="365"/>
      <c r="I37" s="369"/>
      <c r="J37" s="369"/>
      <c r="K37" s="385"/>
      <c r="L37" s="361"/>
    </row>
    <row r="38" spans="2:12" s="3" customFormat="1" ht="15" customHeight="1">
      <c r="B38" s="99" t="s">
        <v>16</v>
      </c>
      <c r="C38" s="82">
        <f>IF(ISERROR(VLOOKUP(School_Code&amp;"High needs",School_Data,30,FALSE)),"",(VLOOKUP(School_Code&amp;"High needs",School_Data,30,FALSE)))</f>
        <v>58.7</v>
      </c>
      <c r="D38" s="83">
        <f>IF(ISERROR(VLOOKUP(School_Code&amp;"High needs",School_Data,31,FALSE)),"",(VLOOKUP(School_Code&amp;"High needs",School_Data,31,FALSE)))</f>
        <v>62.1</v>
      </c>
      <c r="E38" s="83">
        <f>IF(ISERROR(VLOOKUP(School_Code&amp;"High needs",School_Data,32,FALSE)),"",(VLOOKUP(School_Code&amp;"High needs",School_Data,32,FALSE)))</f>
        <v>64.099999999999994</v>
      </c>
      <c r="F38" s="83">
        <f>IF(ISERROR(VLOOKUP(School_Code&amp;"High needs",School_Data,33,FALSE)),"",(VLOOKUP(School_Code&amp;"High needs",School_Data,33,FALSE)))</f>
        <v>65.599999999999994</v>
      </c>
      <c r="G38" s="83">
        <f>IF(ISERROR(VLOOKUP(School_Code&amp;"High needs",School_Data,34,FALSE)),"",(VLOOKUP(School_Code&amp;"High needs",School_Data,34,FALSE)))</f>
        <v>73.599999999999994</v>
      </c>
      <c r="H38" s="83">
        <f>IF(ISERROR(VLOOKUP(School_Code&amp;"High needs",School_Data,35,FALSE)),"",(VLOOKUP(School_Code&amp;"High needs",School_Data,35,FALSE)))</f>
        <v>69</v>
      </c>
      <c r="I38" s="83">
        <f>IF(ISERROR(VLOOKUP(School_Code&amp;"High needs",School_Data,36,FALSE)),"",(VLOOKUP(School_Code&amp;"High needs",School_Data,36,FALSE)))</f>
        <v>72.5</v>
      </c>
      <c r="J38" s="83">
        <f>IF(ISERROR(VLOOKUP(School_Code&amp;"High needs",School_Data,37,FALSE)),"",(VLOOKUP(School_Code&amp;"High needs",School_Data,37,FALSE)))</f>
        <v>75.900000000000006</v>
      </c>
      <c r="K38" s="100">
        <f>IF(ISERROR(VLOOKUP(School_Code&amp;"High needs",School_Data,38,FALSE)),"",(VLOOKUP(School_Code&amp;"High needs",School_Data,38,FALSE)))</f>
        <v>79.400000000000006</v>
      </c>
      <c r="L38" s="361"/>
    </row>
    <row r="39" spans="2:12" s="3" customFormat="1" ht="15" customHeight="1">
      <c r="B39" s="99" t="s">
        <v>13</v>
      </c>
      <c r="C39" s="82">
        <f>IF(ISERROR(VLOOKUP(School_Code&amp;"Low income",School_Data,30,FALSE)),"",(VLOOKUP(School_Code&amp;"Low income",School_Data,30,FALSE)))</f>
        <v>58.7</v>
      </c>
      <c r="D39" s="83">
        <f>IF(ISERROR(VLOOKUP(School_Code&amp;"Low income",School_Data,31,FALSE)),"",(VLOOKUP(School_Code&amp;"Low income",School_Data,31,FALSE)))</f>
        <v>62.1</v>
      </c>
      <c r="E39" s="83">
        <f>IF(ISERROR(VLOOKUP(School_Code&amp;"Low income",School_Data,32,FALSE)),"",(VLOOKUP(School_Code&amp;"Low income",School_Data,32,FALSE)))</f>
        <v>64.099999999999994</v>
      </c>
      <c r="F39" s="83">
        <f>IF(ISERROR(VLOOKUP(School_Code&amp;"Low income",School_Data,33,FALSE)),"",(VLOOKUP(School_Code&amp;"Low income",School_Data,33,FALSE)))</f>
        <v>65.599999999999994</v>
      </c>
      <c r="G39" s="83">
        <f>IF(ISERROR(VLOOKUP(School_Code&amp;"Low income",School_Data,34,FALSE)),"",(VLOOKUP(School_Code&amp;"Low income",School_Data,34,FALSE)))</f>
        <v>75</v>
      </c>
      <c r="H39" s="83">
        <f>IF(ISERROR(VLOOKUP(School_Code&amp;"Low income",School_Data,35,FALSE)),"",(VLOOKUP(School_Code&amp;"Low income",School_Data,35,FALSE)))</f>
        <v>69</v>
      </c>
      <c r="I39" s="83">
        <f>IF(ISERROR(VLOOKUP(School_Code&amp;"Low income",School_Data,36,FALSE)),"",(VLOOKUP(School_Code&amp;"Low income",School_Data,36,FALSE)))</f>
        <v>72.5</v>
      </c>
      <c r="J39" s="83">
        <f>IF(ISERROR(VLOOKUP(School_Code&amp;"Low income",School_Data,37,FALSE)),"",(VLOOKUP(School_Code&amp;"Low income",School_Data,37,FALSE)))</f>
        <v>75.900000000000006</v>
      </c>
      <c r="K39" s="100">
        <f>IF(ISERROR(VLOOKUP(School_Code&amp;"Low income",School_Data,38,FALSE)),"",(VLOOKUP(School_Code&amp;"Low income",School_Data,38,FALSE)))</f>
        <v>79.400000000000006</v>
      </c>
      <c r="L39" s="361"/>
    </row>
    <row r="40" spans="2:12" s="3" customFormat="1" ht="15" customHeight="1">
      <c r="B40" s="99" t="s">
        <v>15</v>
      </c>
      <c r="C40" s="82" t="str">
        <f>IF(ISERROR(VLOOKUP(School_Code&amp;"ELL and Former ELL",School_Data,30,FALSE)),"",(VLOOKUP(School_Code&amp;"ELL and Former ELL",School_Data,30,FALSE)))</f>
        <v>--</v>
      </c>
      <c r="D40" s="83" t="str">
        <f>IF(ISERROR(VLOOKUP(School_Code&amp;"ELL and Former ELL",School_Data,31,FALSE)),"",(VLOOKUP(School_Code&amp;"ELL and Former ELL",School_Data,31,FALSE)))</f>
        <v>--</v>
      </c>
      <c r="E40" s="83" t="str">
        <f>IF(ISERROR(VLOOKUP(School_Code&amp;"ELL and Former ELL",School_Data,32,FALSE)),"",(VLOOKUP(School_Code&amp;"ELL and Former ELL",School_Data,32,FALSE)))</f>
        <v>--</v>
      </c>
      <c r="F40" s="83" t="str">
        <f>IF(ISERROR(VLOOKUP(School_Code&amp;"ELL and Former ELL",School_Data,33,FALSE)),"",(VLOOKUP(School_Code&amp;"ELL and Former ELL",School_Data,33,FALSE)))</f>
        <v>--</v>
      </c>
      <c r="G40" s="83" t="str">
        <f>IF(ISERROR(VLOOKUP(School_Code&amp;"ELL and Former ELL",School_Data,34,FALSE)),"",(VLOOKUP(School_Code&amp;"ELL and Former ELL",School_Data,34,FALSE)))</f>
        <v>--</v>
      </c>
      <c r="H40" s="83" t="str">
        <f>IF(ISERROR(VLOOKUP(School_Code&amp;"ELL and Former ELL",School_Data,35,FALSE)),"",(VLOOKUP(School_Code&amp;"ELL and Former ELL",School_Data,35,FALSE)))</f>
        <v>--</v>
      </c>
      <c r="I40" s="87" t="str">
        <f>IF(ISERROR(VLOOKUP(School_Code&amp;"ELL and Former ELL",School_Data,36,FALSE)),"",(VLOOKUP(School_Code&amp;"ELL and Former ELL",School_Data,36,FALSE)))</f>
        <v>--</v>
      </c>
      <c r="J40" s="87" t="str">
        <f>IF(ISERROR(VLOOKUP(School_Code&amp;"ELL and Former ELL",School_Data,37,FALSE)),"",(VLOOKUP(School_Code&amp;"ELL and Former ELL",School_Data,37,FALSE)))</f>
        <v>--</v>
      </c>
      <c r="K40" s="101" t="str">
        <f>IF(ISERROR(VLOOKUP(School_Code&amp;"ELL and Former ELL",School_Data,38,FALSE)),"",(VLOOKUP(School_Code&amp;"ELL and Former ELL",School_Data,38,FALSE)))</f>
        <v>--</v>
      </c>
      <c r="L40" s="361"/>
    </row>
    <row r="41" spans="2:12" s="3" customFormat="1" ht="15" customHeight="1">
      <c r="B41" s="99" t="s">
        <v>12</v>
      </c>
      <c r="C41" s="82" t="str">
        <f>IF(ISERROR(VLOOKUP(School_Code&amp;"Students w/disabilities",School_Data,30,FALSE)),"",(VLOOKUP(School_Code&amp;"Students w/disabilities",School_Data,30,FALSE)))</f>
        <v>--</v>
      </c>
      <c r="D41" s="83" t="str">
        <f>IF(ISERROR(VLOOKUP(School_Code&amp;"Students w/disabilities",School_Data,31,FALSE)),"",(VLOOKUP(School_Code&amp;"Students w/disabilities",School_Data,31,FALSE)))</f>
        <v>--</v>
      </c>
      <c r="E41" s="83" t="str">
        <f>IF(ISERROR(VLOOKUP(School_Code&amp;"Students w/disabilities",School_Data,32,FALSE)),"",(VLOOKUP(School_Code&amp;"Students w/disabilities",School_Data,32,FALSE)))</f>
        <v>--</v>
      </c>
      <c r="F41" s="83" t="str">
        <f>IF(ISERROR(VLOOKUP(School_Code&amp;"Students w/disabilities",School_Data,33,FALSE)),"",(VLOOKUP(School_Code&amp;"Students w/disabilities",School_Data,33,FALSE)))</f>
        <v>--</v>
      </c>
      <c r="G41" s="83" t="str">
        <f>IF(ISERROR(VLOOKUP(School_Code&amp;"Students w/disabilities",School_Data,34,FALSE)),"",(VLOOKUP(School_Code&amp;"Students w/disabilities",School_Data,34,FALSE)))</f>
        <v>--</v>
      </c>
      <c r="H41" s="83" t="str">
        <f>IF(ISERROR(VLOOKUP(School_Code&amp;"Students w/disabilities",School_Data,35,FALSE)),"",(VLOOKUP(School_Code&amp;"Students w/disabilities",School_Data,35,FALSE)))</f>
        <v>--</v>
      </c>
      <c r="I41" s="87" t="str">
        <f>IF(ISERROR(VLOOKUP(School_Code&amp;"Students w/disabilities",School_Data,36,FALSE)),"",(VLOOKUP(School_Code&amp;"Students w/disabilities",School_Data,36,FALSE)))</f>
        <v>--</v>
      </c>
      <c r="J41" s="87" t="str">
        <f>IF(ISERROR(VLOOKUP(School_Code&amp;"Students w/disabilities",School_Data,37,FALSE)),"",(VLOOKUP(School_Code&amp;"Students w/disabilities",School_Data,37,FALSE)))</f>
        <v>--</v>
      </c>
      <c r="K41" s="101" t="str">
        <f>IF(ISERROR(VLOOKUP(School_Code&amp;"Students w/disabilities",School_Data,38,FALSE)),"",(VLOOKUP(School_Code&amp;"Students w/disabilities",School_Data,38,FALSE)))</f>
        <v>--</v>
      </c>
      <c r="L41" s="361"/>
    </row>
    <row r="42" spans="2:12" s="3" customFormat="1" ht="15" customHeight="1">
      <c r="B42" s="99" t="s">
        <v>44</v>
      </c>
      <c r="C42" s="82" t="str">
        <f>IF(ISERROR(VLOOKUP(School_Code&amp;"Amer. Ind. or Alaska Nat.",School_Data,30,FALSE)),"",(VLOOKUP(School_Code&amp;"Amer. Ind. or Alaska Nat.",School_Data,30,FALSE)))</f>
        <v>--</v>
      </c>
      <c r="D42" s="83" t="str">
        <f>IF(ISERROR(VLOOKUP(School_Code&amp;"Amer. Ind. or Alaska Nat.",School_Data,31,FALSE)),"",(VLOOKUP(School_Code&amp;"Amer. Ind. or Alaska Nat.",School_Data,31,FALSE)))</f>
        <v>--</v>
      </c>
      <c r="E42" s="83" t="str">
        <f>IF(ISERROR(VLOOKUP(School_Code&amp;"Amer. Ind. or Alaska Nat.",School_Data,32,FALSE)),"",(VLOOKUP(School_Code&amp;"Amer. Ind. or Alaska Nat.",School_Data,32,FALSE)))</f>
        <v>--</v>
      </c>
      <c r="F42" s="83" t="str">
        <f>IF(ISERROR(VLOOKUP(School_Code&amp;"Amer. Ind. or Alaska Nat.",School_Data,33,FALSE)),"",(VLOOKUP(School_Code&amp;"Amer. Ind. or Alaska Nat.",School_Data,33,FALSE)))</f>
        <v>--</v>
      </c>
      <c r="G42" s="83" t="str">
        <f>IF(ISERROR(VLOOKUP(School_Code&amp;"Amer. Ind. or Alaska Nat.",School_Data,34,FALSE)),"",(VLOOKUP(School_Code&amp;"Amer. Ind. or Alaska Nat.",School_Data,34,FALSE)))</f>
        <v>--</v>
      </c>
      <c r="H42" s="83" t="str">
        <f>IF(ISERROR(VLOOKUP(School_Code&amp;"Amer. Ind. or Alaska Nat.",School_Data,35,FALSE)),"",(VLOOKUP(School_Code&amp;"Amer. Ind. or Alaska Nat.",School_Data,35,FALSE)))</f>
        <v>--</v>
      </c>
      <c r="I42" s="87" t="str">
        <f>IF(ISERROR(VLOOKUP(School_Code&amp;"Amer. Ind. or Alaska Nat.",School_Data,36,FALSE)),"",(VLOOKUP(School_Code&amp;"Amer. Ind. or Alaska Nat.",School_Data,36,FALSE)))</f>
        <v>--</v>
      </c>
      <c r="J42" s="87" t="str">
        <f>IF(ISERROR(VLOOKUP(School_Code&amp;"Amer. Ind. or Alaska Nat.",School_Data,37,FALSE)),"",(VLOOKUP(School_Code&amp;"Amer. Ind. or Alaska Nat.",School_Data,37,FALSE)))</f>
        <v>--</v>
      </c>
      <c r="K42" s="101" t="str">
        <f>IF(ISERROR(VLOOKUP(School_Code&amp;"Amer. Ind. or Alaska Nat.",School_Data,38,FALSE)),"",(VLOOKUP(School_Code&amp;"Amer. Ind. or Alaska Nat.",School_Data,38,FALSE)))</f>
        <v>--</v>
      </c>
      <c r="L42" s="361"/>
    </row>
    <row r="43" spans="2:12" s="3" customFormat="1" ht="15" customHeight="1">
      <c r="B43" s="99" t="s">
        <v>45</v>
      </c>
      <c r="C43" s="82" t="str">
        <f>IF(ISERROR(VLOOKUP(School_Code&amp;"Asian",School_Data,30,FALSE)),"",(VLOOKUP(School_Code&amp;"Asian",School_Data,30,FALSE)))</f>
        <v>--</v>
      </c>
      <c r="D43" s="83" t="str">
        <f>IF(ISERROR(VLOOKUP(School_Code&amp;"Asian",School_Data,31,FALSE)),"",(VLOOKUP(School_Code&amp;"Asian",School_Data,31,FALSE)))</f>
        <v>--</v>
      </c>
      <c r="E43" s="83" t="str">
        <f>IF(ISERROR(VLOOKUP(School_Code&amp;"Asian",School_Data,32,FALSE)),"",(VLOOKUP(School_Code&amp;"Asian",School_Data,32,FALSE)))</f>
        <v>--</v>
      </c>
      <c r="F43" s="83" t="str">
        <f>IF(ISERROR(VLOOKUP(School_Code&amp;"Asian",School_Data,33,FALSE)),"",(VLOOKUP(School_Code&amp;"Asian",School_Data,33,FALSE)))</f>
        <v>--</v>
      </c>
      <c r="G43" s="83" t="str">
        <f>IF(ISERROR(VLOOKUP(School_Code&amp;"Asian",School_Data,34,FALSE)),"",(VLOOKUP(School_Code&amp;"Asian",School_Data,34,FALSE)))</f>
        <v>--</v>
      </c>
      <c r="H43" s="83" t="str">
        <f>IF(ISERROR(VLOOKUP(School_Code&amp;"Asian",School_Data,35,FALSE)),"",(VLOOKUP(School_Code&amp;"Asian",School_Data,35,FALSE)))</f>
        <v>--</v>
      </c>
      <c r="I43" s="87" t="str">
        <f>IF(ISERROR(VLOOKUP(School_Code&amp;"Asian",School_Data,36,FALSE)),"",(VLOOKUP(School_Code&amp;"Asian",School_Data,36,FALSE)))</f>
        <v>--</v>
      </c>
      <c r="J43" s="87" t="str">
        <f>IF(ISERROR(VLOOKUP(School_Code&amp;"Asian",School_Data,37,FALSE)),"",(VLOOKUP(School_Code&amp;"Asian",School_Data,37,FALSE)))</f>
        <v>--</v>
      </c>
      <c r="K43" s="101" t="str">
        <f>IF(ISERROR(VLOOKUP(School_Code&amp;"Asian",School_Data,38,FALSE)),"",(VLOOKUP(School_Code&amp;"Asian",School_Data,38,FALSE)))</f>
        <v>--</v>
      </c>
      <c r="L43" s="361"/>
    </row>
    <row r="44" spans="2:12" s="3" customFormat="1" ht="15" customHeight="1">
      <c r="B44" s="99" t="s">
        <v>11</v>
      </c>
      <c r="C44" s="82" t="str">
        <f>IF(ISERROR(VLOOKUP(School_Code&amp;"Afr. Amer/Black",School_Data,30,FALSE)),"",(VLOOKUP(School_Code&amp;"Afr. Amer/Black",School_Data,30,FALSE)))</f>
        <v>--</v>
      </c>
      <c r="D44" s="83" t="str">
        <f>IF(ISERROR(VLOOKUP(School_Code&amp;"Afr. Amer/Black",School_Data,31,FALSE)),"",(VLOOKUP(School_Code&amp;"Afr. Amer/Black",School_Data,31,FALSE)))</f>
        <v>--</v>
      </c>
      <c r="E44" s="83" t="str">
        <f>IF(ISERROR(VLOOKUP(School_Code&amp;"Afr. Amer/Black",School_Data,32,FALSE)),"",(VLOOKUP(School_Code&amp;"Afr. Amer/Black",School_Data,32,FALSE)))</f>
        <v>--</v>
      </c>
      <c r="F44" s="83" t="str">
        <f>IF(ISERROR(VLOOKUP(School_Code&amp;"Afr. Amer/Black",School_Data,33,FALSE)),"",(VLOOKUP(School_Code&amp;"Afr. Amer/Black",School_Data,33,FALSE)))</f>
        <v>--</v>
      </c>
      <c r="G44" s="83" t="str">
        <f>IF(ISERROR(VLOOKUP(School_Code&amp;"Afr. Amer/Black",School_Data,34,FALSE)),"",(VLOOKUP(School_Code&amp;"Afr. Amer/Black",School_Data,34,FALSE)))</f>
        <v>--</v>
      </c>
      <c r="H44" s="83" t="str">
        <f>IF(ISERROR(VLOOKUP(School_Code&amp;"Afr. Amer/Black",School_Data,35,FALSE)),"",(VLOOKUP(School_Code&amp;"Afr. Amer/Black",School_Data,35,FALSE)))</f>
        <v>--</v>
      </c>
      <c r="I44" s="87" t="str">
        <f>IF(ISERROR(VLOOKUP(School_Code&amp;"Afr. Amer/Black",School_Data,36,FALSE)),"",(VLOOKUP(School_Code&amp;"Afr. Amer/Black",School_Data,36,FALSE)))</f>
        <v>--</v>
      </c>
      <c r="J44" s="87" t="str">
        <f>IF(ISERROR(VLOOKUP(School_Code&amp;"Afr. Amer/Black",School_Data,37,FALSE)),"",(VLOOKUP(School_Code&amp;"Afr. Amer/Black",School_Data,37,FALSE)))</f>
        <v>--</v>
      </c>
      <c r="K44" s="101" t="str">
        <f>IF(ISERROR(VLOOKUP(School_Code&amp;"Afr. Amer/Black",School_Data,38,FALSE)),"",(VLOOKUP(School_Code&amp;"Afr. Amer/Black",School_Data,38,FALSE)))</f>
        <v>--</v>
      </c>
      <c r="L44" s="361"/>
    </row>
    <row r="45" spans="2:12" s="3" customFormat="1" ht="15" customHeight="1">
      <c r="B45" s="99" t="s">
        <v>14</v>
      </c>
      <c r="C45" s="82" t="str">
        <f>IF(ISERROR(VLOOKUP(School_Code&amp;"Hispanic/Latino",School_Data,30,FALSE)),"",(VLOOKUP(School_Code&amp;"Hispanic/Latino",School_Data,30,FALSE)))</f>
        <v>--</v>
      </c>
      <c r="D45" s="83" t="str">
        <f>IF(ISERROR(VLOOKUP(School_Code&amp;"Hispanic/Latino",School_Data,31,FALSE)),"",(VLOOKUP(School_Code&amp;"Hispanic/Latino",School_Data,31,FALSE)))</f>
        <v>--</v>
      </c>
      <c r="E45" s="83" t="str">
        <f>IF(ISERROR(VLOOKUP(School_Code&amp;"Hispanic/Latino",School_Data,32,FALSE)),"",(VLOOKUP(School_Code&amp;"Hispanic/Latino",School_Data,32,FALSE)))</f>
        <v>--</v>
      </c>
      <c r="F45" s="83" t="str">
        <f>IF(ISERROR(VLOOKUP(School_Code&amp;"Hispanic/Latino",School_Data,33,FALSE)),"",(VLOOKUP(School_Code&amp;"Hispanic/Latino",School_Data,33,FALSE)))</f>
        <v>--</v>
      </c>
      <c r="G45" s="83" t="str">
        <f>IF(ISERROR(VLOOKUP(School_Code&amp;"Hispanic/Latino",School_Data,34,FALSE)),"",(VLOOKUP(School_Code&amp;"Hispanic/Latino",School_Data,34,FALSE)))</f>
        <v>--</v>
      </c>
      <c r="H45" s="83" t="str">
        <f>IF(ISERROR(VLOOKUP(School_Code&amp;"Hispanic/Latino",School_Data,35,FALSE)),"",(VLOOKUP(School_Code&amp;"Hispanic/Latino",School_Data,35,FALSE)))</f>
        <v>--</v>
      </c>
      <c r="I45" s="87" t="str">
        <f>IF(ISERROR(VLOOKUP(School_Code&amp;"Hispanic/Latino",School_Data,36,FALSE)),"",(VLOOKUP(School_Code&amp;"Hispanic/Latino",School_Data,36,FALSE)))</f>
        <v>--</v>
      </c>
      <c r="J45" s="87" t="str">
        <f>IF(ISERROR(VLOOKUP(School_Code&amp;"Hispanic/Latino",School_Data,37,FALSE)),"",(VLOOKUP(School_Code&amp;"Hispanic/Latino",School_Data,37,FALSE)))</f>
        <v>--</v>
      </c>
      <c r="K45" s="101" t="str">
        <f>IF(ISERROR(VLOOKUP(School_Code&amp;"Hispanic/Latino",School_Data,38,FALSE)),"",(VLOOKUP(School_Code&amp;"Hispanic/Latino",School_Data,38,FALSE)))</f>
        <v>--</v>
      </c>
      <c r="L45" s="361"/>
    </row>
    <row r="46" spans="2:12" s="3" customFormat="1" ht="15" customHeight="1">
      <c r="B46" s="99" t="s">
        <v>46</v>
      </c>
      <c r="C46" s="82" t="str">
        <f>IF(ISERROR(VLOOKUP(School_Code&amp;"Multi-race, Non-Hisp./Lat.",School_Data,30,FALSE)),"",(VLOOKUP(School_Code&amp;"Multi-race, Non-Hisp./Lat.",School_Data,30,FALSE)))</f>
        <v>--</v>
      </c>
      <c r="D46" s="83" t="str">
        <f>IF(ISERROR(VLOOKUP(School_Code&amp;"Multi-race, Non-Hisp./Lat.",School_Data,31,FALSE)),"",(VLOOKUP(School_Code&amp;"Multi-race, Non-Hisp./Lat.",School_Data,31,FALSE)))</f>
        <v>--</v>
      </c>
      <c r="E46" s="83" t="str">
        <f>IF(ISERROR(VLOOKUP(School_Code&amp;"Multi-race, Non-Hisp./Lat.",School_Data,32,FALSE)),"",(VLOOKUP(School_Code&amp;"Multi-race, Non-Hisp./Lat.",School_Data,32,FALSE)))</f>
        <v>--</v>
      </c>
      <c r="F46" s="83" t="str">
        <f>IF(ISERROR(VLOOKUP(School_Code&amp;"Multi-race, Non-Hisp./Lat.",School_Data,33,FALSE)),"",(VLOOKUP(School_Code&amp;"Multi-race, Non-Hisp./Lat.",School_Data,33,FALSE)))</f>
        <v>--</v>
      </c>
      <c r="G46" s="83" t="str">
        <f>IF(ISERROR(VLOOKUP(School_Code&amp;"Multi-race, Non-Hisp./Lat.",School_Data,34,FALSE)),"",(VLOOKUP(School_Code&amp;"Multi-race, Non-Hisp./Lat.",School_Data,34,FALSE)))</f>
        <v>--</v>
      </c>
      <c r="H46" s="83" t="str">
        <f>IF(ISERROR(VLOOKUP(School_Code&amp;"Multi-race, Non-Hisp./Lat.",School_Data,35,FALSE)),"",(VLOOKUP(School_Code&amp;"Multi-race, Non-Hisp./Lat.",School_Data,35,FALSE)))</f>
        <v>--</v>
      </c>
      <c r="I46" s="87" t="str">
        <f>IF(ISERROR(VLOOKUP(School_Code&amp;"Multi-race, Non-Hisp./Lat.",School_Data,36,FALSE)),"",(VLOOKUP(School_Code&amp;"Multi-race, Non-Hisp./Lat.",School_Data,36,FALSE)))</f>
        <v>--</v>
      </c>
      <c r="J46" s="87" t="str">
        <f>IF(ISERROR(VLOOKUP(School_Code&amp;"Multi-race, Non-Hisp./Lat.",School_Data,37,FALSE)),"",(VLOOKUP(School_Code&amp;"Multi-race, Non-Hisp./Lat.",School_Data,37,FALSE)))</f>
        <v>--</v>
      </c>
      <c r="K46" s="101" t="str">
        <f>IF(ISERROR(VLOOKUP(School_Code&amp;"Multi-race, Non-Hisp./Lat.",School_Data,38,FALSE)),"",(VLOOKUP(School_Code&amp;"Multi-race, Non-Hisp./Lat.",School_Data,38,FALSE)))</f>
        <v>--</v>
      </c>
      <c r="L46" s="361"/>
    </row>
    <row r="47" spans="2:12" s="3" customFormat="1" ht="15" customHeight="1">
      <c r="B47" s="99" t="s">
        <v>47</v>
      </c>
      <c r="C47" s="82" t="str">
        <f>IF(ISERROR(VLOOKUP(School_Code&amp;"Nat. Haw. or Pacif. Isl.",School_Data,30,FALSE)),"",(VLOOKUP(School_Code&amp;"Nat. Haw. or Pacif. Isl.",School_Data,30,FALSE)))</f>
        <v>--</v>
      </c>
      <c r="D47" s="83" t="str">
        <f>IF(ISERROR(VLOOKUP(School_Code&amp;"Nat. Haw. or Pacif. Isl.",School_Data,31,FALSE)),"",(VLOOKUP(School_Code&amp;"Nat. Haw. or Pacif. Isl.",School_Data,31,FALSE)))</f>
        <v>--</v>
      </c>
      <c r="E47" s="83" t="str">
        <f>IF(ISERROR(VLOOKUP(School_Code&amp;"Nat. Haw. or Pacif. Isl.",School_Data,32,FALSE)),"",(VLOOKUP(School_Code&amp;"Nat. Haw. or Pacif. Isl.",School_Data,32,FALSE)))</f>
        <v>--</v>
      </c>
      <c r="F47" s="83" t="str">
        <f>IF(ISERROR(VLOOKUP(School_Code&amp;"Nat. Haw. or Pacif. Isl.",School_Data,33,FALSE)),"",(VLOOKUP(School_Code&amp;"Nat. Haw. or Pacif. Isl.",School_Data,33,FALSE)))</f>
        <v>--</v>
      </c>
      <c r="G47" s="83" t="str">
        <f>IF(ISERROR(VLOOKUP(School_Code&amp;"Nat. Haw. or Pacif. Isl.",School_Data,34,FALSE)),"",(VLOOKUP(School_Code&amp;"Nat. Haw. or Pacif. Isl.",School_Data,34,FALSE)))</f>
        <v>--</v>
      </c>
      <c r="H47" s="83" t="str">
        <f>IF(ISERROR(VLOOKUP(School_Code&amp;"Nat. Haw. or Pacif. Isl.",School_Data,35,FALSE)),"",(VLOOKUP(School_Code&amp;"Nat. Haw. or Pacif. Isl.",School_Data,35,FALSE)))</f>
        <v>--</v>
      </c>
      <c r="I47" s="87" t="str">
        <f>IF(ISERROR(VLOOKUP(School_Code&amp;"Nat. Haw. or Pacif. Isl.",School_Data,36,FALSE)),"",(VLOOKUP(School_Code&amp;"Nat. Haw. or Pacif. Isl.",School_Data,36,FALSE)))</f>
        <v>--</v>
      </c>
      <c r="J47" s="87" t="str">
        <f>IF(ISERROR(VLOOKUP(School_Code&amp;"Nat. Haw. or Pacif. Isl.",School_Data,37,FALSE)),"",(VLOOKUP(School_Code&amp;"Nat. Haw. or Pacif. Isl.",School_Data,37,FALSE)))</f>
        <v>--</v>
      </c>
      <c r="K47" s="101" t="str">
        <f>IF(ISERROR(VLOOKUP(School_Code&amp;"Nat. Haw. or Pacif. Isl.",School_Data,38,FALSE)),"",(VLOOKUP(School_Code&amp;"Nat. Haw. or Pacif. Isl.",School_Data,38,FALSE)))</f>
        <v>--</v>
      </c>
      <c r="L47" s="361"/>
    </row>
    <row r="48" spans="2:12" s="3" customFormat="1" ht="15" customHeight="1">
      <c r="B48" s="110" t="s">
        <v>17</v>
      </c>
      <c r="C48" s="105">
        <f>IF(ISERROR(VLOOKUP(School_Code&amp;"White",School_Data,30,FALSE)),"",(VLOOKUP(School_Code&amp;"White",School_Data,30,FALSE)))</f>
        <v>58.7</v>
      </c>
      <c r="D48" s="107">
        <f>IF(ISERROR(VLOOKUP(School_Code&amp;"White",School_Data,31,FALSE)),"",(VLOOKUP(School_Code&amp;"White",School_Data,31,FALSE)))</f>
        <v>62.1</v>
      </c>
      <c r="E48" s="107">
        <f>IF(ISERROR(VLOOKUP(School_Code&amp;"White",School_Data,32,FALSE)),"",(VLOOKUP(School_Code&amp;"White",School_Data,32,FALSE)))</f>
        <v>71.900000000000006</v>
      </c>
      <c r="F48" s="107">
        <f>IF(ISERROR(VLOOKUP(School_Code&amp;"White",School_Data,33,FALSE)),"",(VLOOKUP(School_Code&amp;"White",School_Data,33,FALSE)))</f>
        <v>65.599999999999994</v>
      </c>
      <c r="G48" s="107">
        <f>IF(ISERROR(VLOOKUP(School_Code&amp;"White",School_Data,34,FALSE)),"",(VLOOKUP(School_Code&amp;"White",School_Data,34,FALSE)))</f>
        <v>78.599999999999994</v>
      </c>
      <c r="H48" s="107">
        <f>IF(ISERROR(VLOOKUP(School_Code&amp;"White",School_Data,35,FALSE)),"",(VLOOKUP(School_Code&amp;"White",School_Data,35,FALSE)))</f>
        <v>69</v>
      </c>
      <c r="I48" s="111">
        <f>IF(ISERROR(VLOOKUP(School_Code&amp;"White",School_Data,36,FALSE)),"",(VLOOKUP(School_Code&amp;"White",School_Data,36,FALSE)))</f>
        <v>72.5</v>
      </c>
      <c r="J48" s="111">
        <f>IF(ISERROR(VLOOKUP(School_Code&amp;"White",School_Data,37,FALSE)),"",(VLOOKUP(School_Code&amp;"White",School_Data,37,FALSE)))</f>
        <v>75.900000000000006</v>
      </c>
      <c r="K48" s="112">
        <f>IF(ISERROR(VLOOKUP(School_Code&amp;"White",School_Data,38,FALSE)),"",(VLOOKUP(School_Code&amp;"White",School_Data,38,FALSE)))</f>
        <v>79.400000000000006</v>
      </c>
      <c r="L48" s="361"/>
    </row>
    <row r="49" spans="2:12" s="3" customFormat="1" ht="126" customHeight="1">
      <c r="B49" s="97" t="s">
        <v>281</v>
      </c>
      <c r="C49" s="299">
        <f>IF(ISERROR(VLOOKUP(School_Code&amp;"All students",School_Data,66,FALSE)),"",(VLOOKUP(School_Code&amp;"All students",School_Data,66,FALSE)))</f>
        <v>40</v>
      </c>
      <c r="D49" s="356">
        <f>IF(ISERROR(VLOOKUP(School_Code&amp;"All students",School_Data,67,FALSE)),"",(VLOOKUP(School_Code&amp;"All students",School_Data,67,FALSE)))</f>
        <v>50</v>
      </c>
      <c r="E49" s="364">
        <f>IF(ISERROR(VLOOKUP(School_Code&amp;"All students",School_Data,68,FALSE)),"",(VLOOKUP(School_Code&amp;"All students",School_Data,68,FALSE)))</f>
        <v>52</v>
      </c>
      <c r="F49" s="356">
        <f>IF(ISERROR(VLOOKUP(School_Code&amp;"All students",School_Data,69,FALSE)),"",(VLOOKUP(School_Code&amp;"All students",School_Data,69,FALSE)))</f>
        <v>51</v>
      </c>
      <c r="G49" s="356">
        <f>IF(ISERROR(VLOOKUP(School_Code&amp;"All students",School_Data,70,FALSE)),"",(VLOOKUP(School_Code&amp;"All students",School_Data,70,FALSE)))</f>
        <v>50</v>
      </c>
      <c r="H49" s="356">
        <f>IF(ISERROR(VLOOKUP(School_Code&amp;"All students",School_Data,71,FALSE)),"",(VLOOKUP(School_Code&amp;"All students",School_Data,71,FALSE)))</f>
        <v>51</v>
      </c>
      <c r="I49" s="356">
        <f>IF(ISERROR(VLOOKUP(School_Code&amp;"All students",School_Data,72,FALSE)),"",(VLOOKUP(School_Code&amp;"All students",School_Data,72,FALSE)))</f>
        <v>51</v>
      </c>
      <c r="J49" s="356">
        <f>IF(ISERROR(VLOOKUP(School_Code&amp;"All students",School_Data,73,FALSE)),"",(VLOOKUP(School_Code&amp;"All students",School_Data,73,FALSE)))</f>
        <v>51</v>
      </c>
      <c r="K49" s="366">
        <f>IF(ISERROR(VLOOKUP(School_Code&amp;"All students",School_Data,74,FALSE)),"",(VLOOKUP(School_Code&amp;"All students",School_Data,74,FALSE)))</f>
        <v>51</v>
      </c>
      <c r="L49" s="373" t="s">
        <v>319</v>
      </c>
    </row>
    <row r="50" spans="2:12" s="3" customFormat="1" ht="25.5" hidden="1">
      <c r="B50" s="98" t="s">
        <v>39</v>
      </c>
      <c r="C50" s="363"/>
      <c r="D50" s="357"/>
      <c r="E50" s="365"/>
      <c r="F50" s="357"/>
      <c r="G50" s="357"/>
      <c r="H50" s="357"/>
      <c r="I50" s="357"/>
      <c r="J50" s="357"/>
      <c r="K50" s="367"/>
      <c r="L50" s="361"/>
    </row>
    <row r="51" spans="2:12" s="3" customFormat="1" ht="15" customHeight="1">
      <c r="B51" s="99" t="s">
        <v>16</v>
      </c>
      <c r="C51" s="82">
        <f>IF(ISERROR(VLOOKUP(School_Code&amp;"High needs",School_Data,66,FALSE)),"",(VLOOKUP(School_Code&amp;"High needs",School_Data,66,FALSE)))</f>
        <v>40</v>
      </c>
      <c r="D51" s="103">
        <f>IF(ISERROR(VLOOKUP(School_Code&amp;"High needs",School_Data,67,FALSE)),"",(VLOOKUP(School_Code&amp;"High needs",School_Data,67,FALSE)))</f>
        <v>50</v>
      </c>
      <c r="E51" s="83">
        <f>IF(ISERROR(VLOOKUP(School_Code&amp;"High needs",School_Data,68,FALSE)),"",(VLOOKUP(School_Code&amp;"High needs",School_Data,68,FALSE)))</f>
        <v>48.5</v>
      </c>
      <c r="F51" s="103">
        <f>IF(ISERROR(VLOOKUP(School_Code&amp;"High needs",School_Data,69,FALSE)),"",(VLOOKUP(School_Code&amp;"High needs",School_Data,69,FALSE)))</f>
        <v>51</v>
      </c>
      <c r="G51" s="103">
        <f>IF(ISERROR(VLOOKUP(School_Code&amp;"High needs",School_Data,70,FALSE)),"",(VLOOKUP(School_Code&amp;"High needs",School_Data,70,FALSE)))</f>
        <v>51.5</v>
      </c>
      <c r="H51" s="103">
        <f>IF(ISERROR(VLOOKUP(School_Code&amp;"High needs",School_Data,71,FALSE)),"",(VLOOKUP(School_Code&amp;"High needs",School_Data,71,FALSE)))</f>
        <v>51</v>
      </c>
      <c r="I51" s="103">
        <f>IF(ISERROR(VLOOKUP(School_Code&amp;"High needs",School_Data,72,FALSE)),"",(VLOOKUP(School_Code&amp;"High needs",School_Data,72,FALSE)))</f>
        <v>51</v>
      </c>
      <c r="J51" s="103">
        <f>IF(ISERROR(VLOOKUP(School_Code&amp;"High needs",School_Data,73,FALSE)),"",(VLOOKUP(School_Code&amp;"High needs",School_Data,73,FALSE)))</f>
        <v>51</v>
      </c>
      <c r="K51" s="104">
        <f>IF(ISERROR(VLOOKUP(School_Code&amp;"High needs",School_Data,74,FALSE)),"",(VLOOKUP(School_Code&amp;"High needs",School_Data,74,FALSE)))</f>
        <v>51</v>
      </c>
      <c r="L51" s="361"/>
    </row>
    <row r="52" spans="2:12" s="3" customFormat="1" ht="15" customHeight="1">
      <c r="B52" s="99" t="s">
        <v>13</v>
      </c>
      <c r="C52" s="82">
        <f>IF(ISERROR(VLOOKUP(School_Code&amp;"Low income",School_Data,66,FALSE)),"",(VLOOKUP(School_Code&amp;"Low income",School_Data,66,FALSE)))</f>
        <v>40</v>
      </c>
      <c r="D52" s="103">
        <f>IF(ISERROR(VLOOKUP(School_Code&amp;"Low income",School_Data,67,FALSE)),"",(VLOOKUP(School_Code&amp;"Low income",School_Data,67,FALSE)))</f>
        <v>50</v>
      </c>
      <c r="E52" s="83">
        <f>IF(ISERROR(VLOOKUP(School_Code&amp;"Low income",School_Data,68,FALSE)),"",(VLOOKUP(School_Code&amp;"Low income",School_Data,68,FALSE)))</f>
        <v>51</v>
      </c>
      <c r="F52" s="103">
        <f>IF(ISERROR(VLOOKUP(School_Code&amp;"Low income",School_Data,69,FALSE)),"",(VLOOKUP(School_Code&amp;"Low income",School_Data,69,FALSE)))</f>
        <v>51</v>
      </c>
      <c r="G52" s="103">
        <f>IF(ISERROR(VLOOKUP(School_Code&amp;"Low income",School_Data,70,FALSE)),"",(VLOOKUP(School_Code&amp;"Low income",School_Data,70,FALSE)))</f>
        <v>51</v>
      </c>
      <c r="H52" s="103">
        <f>IF(ISERROR(VLOOKUP(School_Code&amp;"Low income",School_Data,71,FALSE)),"",(VLOOKUP(School_Code&amp;"Low income",School_Data,71,FALSE)))</f>
        <v>51</v>
      </c>
      <c r="I52" s="103">
        <f>IF(ISERROR(VLOOKUP(School_Code&amp;"Low income",School_Data,72,FALSE)),"",(VLOOKUP(School_Code&amp;"Low income",School_Data,72,FALSE)))</f>
        <v>51</v>
      </c>
      <c r="J52" s="103">
        <f>IF(ISERROR(VLOOKUP(School_Code&amp;"Low income",School_Data,73,FALSE)),"",(VLOOKUP(School_Code&amp;"Low income",School_Data,73,FALSE)))</f>
        <v>51</v>
      </c>
      <c r="K52" s="104">
        <f>IF(ISERROR(VLOOKUP(School_Code&amp;"Low income",School_Data,74,FALSE)),"",(VLOOKUP(School_Code&amp;"Low income",School_Data,74,FALSE)))</f>
        <v>51</v>
      </c>
      <c r="L52" s="361"/>
    </row>
    <row r="53" spans="2:12" s="3" customFormat="1" ht="15" customHeight="1">
      <c r="B53" s="99" t="s">
        <v>15</v>
      </c>
      <c r="C53" s="82" t="str">
        <f>IF(ISERROR(VLOOKUP(School_Code&amp;"ELL and Former ELL",School_Data,66,FALSE)),"",(VLOOKUP(School_Code&amp;"ELL and Former ELL",School_Data,66,FALSE)))</f>
        <v>--</v>
      </c>
      <c r="D53" s="103" t="str">
        <f>IF(ISERROR(VLOOKUP(School_Code&amp;"ELL and Former ELL",School_Data,67,FALSE)),"",(VLOOKUP(School_Code&amp;"ELL and Former ELL",School_Data,67,FALSE)))</f>
        <v>--</v>
      </c>
      <c r="E53" s="83" t="str">
        <f>IF(ISERROR(VLOOKUP(School_Code&amp;"ELL and Former ELL",School_Data,68,FALSE)),"",(VLOOKUP(School_Code&amp;"ELL and Former ELL",School_Data,68,FALSE)))</f>
        <v>--</v>
      </c>
      <c r="F53" s="103" t="str">
        <f>IF(ISERROR(VLOOKUP(School_Code&amp;"ELL and Former ELL",School_Data,69,FALSE)),"",(VLOOKUP(School_Code&amp;"ELL and Former ELL",School_Data,69,FALSE)))</f>
        <v>--</v>
      </c>
      <c r="G53" s="103" t="str">
        <f>IF(ISERROR(VLOOKUP(School_Code&amp;"ELL and Former ELL",School_Data,70,FALSE)),"",(VLOOKUP(School_Code&amp;"ELL and Former ELL",School_Data,70,FALSE)))</f>
        <v>--</v>
      </c>
      <c r="H53" s="103" t="str">
        <f>IF(ISERROR(VLOOKUP(School_Code&amp;"ELL and Former ELL",School_Data,71,FALSE)),"",(VLOOKUP(School_Code&amp;"ELL and Former ELL",School_Data,71,FALSE)))</f>
        <v>--</v>
      </c>
      <c r="I53" s="103" t="str">
        <f>IF(ISERROR(VLOOKUP(School_Code&amp;"ELL and Former ELL",School_Data,72,FALSE)),"",(VLOOKUP(School_Code&amp;"ELL and Former ELL",School_Data,72,FALSE)))</f>
        <v>--</v>
      </c>
      <c r="J53" s="103" t="str">
        <f>IF(ISERROR(VLOOKUP(School_Code&amp;"ELL and Former ELL",School_Data,73,FALSE)),"",(VLOOKUP(School_Code&amp;"ELL and Former ELL",School_Data,73,FALSE)))</f>
        <v>--</v>
      </c>
      <c r="K53" s="104" t="str">
        <f>IF(ISERROR(VLOOKUP(School_Code&amp;"ELL and Former ELL",School_Data,74,FALSE)),"",(VLOOKUP(School_Code&amp;"ELL and Former ELL",School_Data,74,FALSE)))</f>
        <v>--</v>
      </c>
      <c r="L53" s="361"/>
    </row>
    <row r="54" spans="2:12" s="3" customFormat="1" ht="15" customHeight="1">
      <c r="B54" s="99" t="s">
        <v>12</v>
      </c>
      <c r="C54" s="82" t="str">
        <f>IF(ISERROR(VLOOKUP(School_Code&amp;"Students w/disabilities",School_Data,66,FALSE)),"",(VLOOKUP(School_Code&amp;"Students w/disabilities",School_Data,66,FALSE)))</f>
        <v>--</v>
      </c>
      <c r="D54" s="103" t="str">
        <f>IF(ISERROR(VLOOKUP(School_Code&amp;"Students w/disabilities",School_Data,67,FALSE)),"",(VLOOKUP(School_Code&amp;"Students w/disabilities",School_Data,67,FALSE)))</f>
        <v>--</v>
      </c>
      <c r="E54" s="83" t="str">
        <f>IF(ISERROR(VLOOKUP(School_Code&amp;"Students w/disabilities",School_Data,68,FALSE)),"",(VLOOKUP(School_Code&amp;"Students w/disabilities",School_Data,68,FALSE)))</f>
        <v>--</v>
      </c>
      <c r="F54" s="103" t="str">
        <f>IF(ISERROR(VLOOKUP(School_Code&amp;"Students w/disabilities",School_Data,69,FALSE)),"",(VLOOKUP(School_Code&amp;"Students w/disabilities",School_Data,69,FALSE)))</f>
        <v>--</v>
      </c>
      <c r="G54" s="103" t="str">
        <f>IF(ISERROR(VLOOKUP(School_Code&amp;"Students w/disabilities",School_Data,70,FALSE)),"",(VLOOKUP(School_Code&amp;"Students w/disabilities",School_Data,70,FALSE)))</f>
        <v>--</v>
      </c>
      <c r="H54" s="103" t="str">
        <f>IF(ISERROR(VLOOKUP(School_Code&amp;"Students w/disabilities",School_Data,71,FALSE)),"",(VLOOKUP(School_Code&amp;"Students w/disabilities",School_Data,71,FALSE)))</f>
        <v>--</v>
      </c>
      <c r="I54" s="103" t="str">
        <f>IF(ISERROR(VLOOKUP(School_Code&amp;"Students w/disabilities",School_Data,72,FALSE)),"",(VLOOKUP(School_Code&amp;"Students w/disabilities",School_Data,72,FALSE)))</f>
        <v>--</v>
      </c>
      <c r="J54" s="103" t="str">
        <f>IF(ISERROR(VLOOKUP(School_Code&amp;"Students w/disabilities",School_Data,73,FALSE)),"",(VLOOKUP(School_Code&amp;"Students w/disabilities",School_Data,73,FALSE)))</f>
        <v>--</v>
      </c>
      <c r="K54" s="104" t="str">
        <f>IF(ISERROR(VLOOKUP(School_Code&amp;"Students w/disabilities",School_Data,74,FALSE)),"",(VLOOKUP(School_Code&amp;"Students w/disabilities",School_Data,74,FALSE)))</f>
        <v>--</v>
      </c>
      <c r="L54" s="361"/>
    </row>
    <row r="55" spans="2:12" s="3" customFormat="1" ht="15" customHeight="1">
      <c r="B55" s="99" t="s">
        <v>44</v>
      </c>
      <c r="C55" s="82" t="str">
        <f>IF(ISERROR(VLOOKUP(School_Code&amp;"Amer. Ind. or Alaska Nat.",School_Data,66,FALSE)),"",(VLOOKUP(School_Code&amp;"Amer. Ind. or Alaska Nat.",School_Data,66,FALSE)))</f>
        <v>--</v>
      </c>
      <c r="D55" s="103" t="str">
        <f>IF(ISERROR(VLOOKUP(School_Code&amp;"Amer. Ind. or Alaska Nat.",School_Data,67,FALSE)),"",(VLOOKUP(School_Code&amp;"Amer. Ind. or Alaska Nat.",School_Data,67,FALSE)))</f>
        <v>--</v>
      </c>
      <c r="E55" s="83" t="str">
        <f>IF(ISERROR(VLOOKUP(School_Code&amp;"Amer. Ind. or Alaska Nat.",School_Data,68,FALSE)),"",(VLOOKUP(School_Code&amp;"Amer. Ind. or Alaska Nat.",School_Data,68,FALSE)))</f>
        <v>--</v>
      </c>
      <c r="F55" s="103" t="str">
        <f>IF(ISERROR(VLOOKUP(School_Code&amp;"Amer. Ind. or Alaska Nat.",School_Data,69,FALSE)),"",(VLOOKUP(School_Code&amp;"Amer. Ind. or Alaska Nat.",School_Data,69,FALSE)))</f>
        <v>--</v>
      </c>
      <c r="G55" s="103" t="str">
        <f>IF(ISERROR(VLOOKUP(School_Code&amp;"Amer. Ind. or Alaska Nat.",School_Data,70,FALSE)),"",(VLOOKUP(School_Code&amp;"Amer. Ind. or Alaska Nat.",School_Data,70,FALSE)))</f>
        <v>--</v>
      </c>
      <c r="H55" s="103" t="str">
        <f>IF(ISERROR(VLOOKUP(School_Code&amp;"Amer. Ind. or Alaska Nat.",School_Data,71,FALSE)),"",(VLOOKUP(School_Code&amp;"Amer. Ind. or Alaska Nat.",School_Data,71,FALSE)))</f>
        <v>--</v>
      </c>
      <c r="I55" s="103" t="str">
        <f>IF(ISERROR(VLOOKUP(School_Code&amp;"Amer. Ind. or Alaska Nat.",School_Data,72,FALSE)),"",(VLOOKUP(School_Code&amp;"Amer. Ind. or Alaska Nat.",School_Data,72,FALSE)))</f>
        <v>--</v>
      </c>
      <c r="J55" s="103" t="str">
        <f>IF(ISERROR(VLOOKUP(School_Code&amp;"Amer. Ind. or Alaska Nat.",School_Data,73,FALSE)),"",(VLOOKUP(School_Code&amp;"Amer. Ind. or Alaska Nat.",School_Data,73,FALSE)))</f>
        <v>--</v>
      </c>
      <c r="K55" s="104" t="str">
        <f>IF(ISERROR(VLOOKUP(School_Code&amp;"Amer. Ind. or Alaska Nat.",School_Data,74,FALSE)),"",(VLOOKUP(School_Code&amp;"Amer. Ind. or Alaska Nat.",School_Data,74,FALSE)))</f>
        <v>--</v>
      </c>
      <c r="L55" s="361"/>
    </row>
    <row r="56" spans="2:12" s="3" customFormat="1" ht="15" customHeight="1">
      <c r="B56" s="99" t="s">
        <v>45</v>
      </c>
      <c r="C56" s="82" t="str">
        <f>IF(ISERROR(VLOOKUP(School_Code&amp;"Asian",School_Data,66,FALSE)),"",(VLOOKUP(School_Code&amp;"Asian",School_Data,66,FALSE)))</f>
        <v>--</v>
      </c>
      <c r="D56" s="103" t="str">
        <f>IF(ISERROR(VLOOKUP(School_Code&amp;"Asian",School_Data,67,FALSE)),"",(VLOOKUP(School_Code&amp;"Asian",School_Data,67,FALSE)))</f>
        <v>--</v>
      </c>
      <c r="E56" s="83" t="str">
        <f>IF(ISERROR(VLOOKUP(School_Code&amp;"Asian",School_Data,68,FALSE)),"",(VLOOKUP(School_Code&amp;"Asian",School_Data,68,FALSE)))</f>
        <v>--</v>
      </c>
      <c r="F56" s="103" t="str">
        <f>IF(ISERROR(VLOOKUP(School_Code&amp;"Asian",School_Data,69,FALSE)),"",(VLOOKUP(School_Code&amp;"Asian",School_Data,69,FALSE)))</f>
        <v>--</v>
      </c>
      <c r="G56" s="103" t="str">
        <f>IF(ISERROR(VLOOKUP(School_Code&amp;"Asian",School_Data,70,FALSE)),"",(VLOOKUP(School_Code&amp;"Asian",School_Data,70,FALSE)))</f>
        <v>--</v>
      </c>
      <c r="H56" s="103" t="str">
        <f>IF(ISERROR(VLOOKUP(School_Code&amp;"Asian",School_Data,71,FALSE)),"",(VLOOKUP(School_Code&amp;"Asian",School_Data,71,FALSE)))</f>
        <v>--</v>
      </c>
      <c r="I56" s="103" t="str">
        <f>IF(ISERROR(VLOOKUP(School_Code&amp;"Asian",School_Data,72,FALSE)),"",(VLOOKUP(School_Code&amp;"Asian",School_Data,72,FALSE)))</f>
        <v>--</v>
      </c>
      <c r="J56" s="103" t="str">
        <f>IF(ISERROR(VLOOKUP(School_Code&amp;"Asian",School_Data,73,FALSE)),"",(VLOOKUP(School_Code&amp;"Asian",School_Data,73,FALSE)))</f>
        <v>--</v>
      </c>
      <c r="K56" s="104" t="str">
        <f>IF(ISERROR(VLOOKUP(School_Code&amp;"Asian",School_Data,74,FALSE)),"",(VLOOKUP(School_Code&amp;"Asian",School_Data,74,FALSE)))</f>
        <v>--</v>
      </c>
      <c r="L56" s="361"/>
    </row>
    <row r="57" spans="2:12" s="3" customFormat="1" ht="15" customHeight="1">
      <c r="B57" s="99" t="s">
        <v>11</v>
      </c>
      <c r="C57" s="82" t="str">
        <f>IF(ISERROR(VLOOKUP(School_Code&amp;"Afr. Amer/Black",School_Data,66,FALSE)),"",(VLOOKUP(School_Code&amp;"Afr. Amer/Black",School_Data,66,FALSE)))</f>
        <v>--</v>
      </c>
      <c r="D57" s="103" t="str">
        <f>IF(ISERROR(VLOOKUP(School_Code&amp;"Afr. Amer/Black",School_Data,67,FALSE)),"",(VLOOKUP(School_Code&amp;"Afr. Amer/Black",School_Data,67,FALSE)))</f>
        <v>--</v>
      </c>
      <c r="E57" s="83" t="str">
        <f>IF(ISERROR(VLOOKUP(School_Code&amp;"Afr. Amer/Black",School_Data,68,FALSE)),"",(VLOOKUP(School_Code&amp;"Afr. Amer/Black",School_Data,68,FALSE)))</f>
        <v>--</v>
      </c>
      <c r="F57" s="103" t="str">
        <f>IF(ISERROR(VLOOKUP(School_Code&amp;"Afr. Amer/Black",School_Data,69,FALSE)),"",(VLOOKUP(School_Code&amp;"Afr. Amer/Black",School_Data,69,FALSE)))</f>
        <v>--</v>
      </c>
      <c r="G57" s="103" t="str">
        <f>IF(ISERROR(VLOOKUP(School_Code&amp;"Afr. Amer/Black",School_Data,70,FALSE)),"",(VLOOKUP(School_Code&amp;"Afr. Amer/Black",School_Data,70,FALSE)))</f>
        <v>--</v>
      </c>
      <c r="H57" s="103" t="str">
        <f>IF(ISERROR(VLOOKUP(School_Code&amp;"Afr. Amer/Black",School_Data,71,FALSE)),"",(VLOOKUP(School_Code&amp;"Afr. Amer/Black",School_Data,71,FALSE)))</f>
        <v>--</v>
      </c>
      <c r="I57" s="103" t="str">
        <f>IF(ISERROR(VLOOKUP(School_Code&amp;"Afr. Amer/Black",School_Data,72,FALSE)),"",(VLOOKUP(School_Code&amp;"Afr. Amer/Black",School_Data,72,FALSE)))</f>
        <v>--</v>
      </c>
      <c r="J57" s="103" t="str">
        <f>IF(ISERROR(VLOOKUP(School_Code&amp;"Afr. Amer/Black",School_Data,73,FALSE)),"",(VLOOKUP(School_Code&amp;"Afr. Amer/Black",School_Data,73,FALSE)))</f>
        <v>--</v>
      </c>
      <c r="K57" s="104" t="str">
        <f>IF(ISERROR(VLOOKUP(School_Code&amp;"Afr. Amer/Black",School_Data,74,FALSE)),"",(VLOOKUP(School_Code&amp;"Afr. Amer/Black",School_Data,74,FALSE)))</f>
        <v>--</v>
      </c>
      <c r="L57" s="361"/>
    </row>
    <row r="58" spans="2:12" s="3" customFormat="1" ht="15" customHeight="1">
      <c r="B58" s="99" t="s">
        <v>14</v>
      </c>
      <c r="C58" s="82" t="str">
        <f>IF(ISERROR(VLOOKUP(School_Code&amp;"Hispanic/Latino",School_Data,66,FALSE)),"",(VLOOKUP(School_Code&amp;"Hispanic/Latino",School_Data,66,FALSE)))</f>
        <v>--</v>
      </c>
      <c r="D58" s="103" t="str">
        <f>IF(ISERROR(VLOOKUP(School_Code&amp;"Hispanic/Latino",School_Data,67,FALSE)),"",(VLOOKUP(School_Code&amp;"Hispanic/Latino",School_Data,67,FALSE)))</f>
        <v>--</v>
      </c>
      <c r="E58" s="83" t="str">
        <f>IF(ISERROR(VLOOKUP(School_Code&amp;"Hispanic/Latino",School_Data,68,FALSE)),"",(VLOOKUP(School_Code&amp;"Hispanic/Latino",School_Data,68,FALSE)))</f>
        <v>--</v>
      </c>
      <c r="F58" s="103" t="str">
        <f>IF(ISERROR(VLOOKUP(School_Code&amp;"Hispanic/Latino",School_Data,69,FALSE)),"",(VLOOKUP(School_Code&amp;"Hispanic/Latino",School_Data,69,FALSE)))</f>
        <v>--</v>
      </c>
      <c r="G58" s="103" t="str">
        <f>IF(ISERROR(VLOOKUP(School_Code&amp;"Hispanic/Latino",School_Data,70,FALSE)),"",(VLOOKUP(School_Code&amp;"Hispanic/Latino",School_Data,70,FALSE)))</f>
        <v>--</v>
      </c>
      <c r="H58" s="103" t="str">
        <f>IF(ISERROR(VLOOKUP(School_Code&amp;"Hispanic/Latino",School_Data,71,FALSE)),"",(VLOOKUP(School_Code&amp;"Hispanic/Latino",School_Data,71,FALSE)))</f>
        <v>--</v>
      </c>
      <c r="I58" s="103" t="str">
        <f>IF(ISERROR(VLOOKUP(School_Code&amp;"Hispanic/Latino",School_Data,72,FALSE)),"",(VLOOKUP(School_Code&amp;"Hispanic/Latino",School_Data,72,FALSE)))</f>
        <v>--</v>
      </c>
      <c r="J58" s="103" t="str">
        <f>IF(ISERROR(VLOOKUP(School_Code&amp;"Hispanic/Latino",School_Data,73,FALSE)),"",(VLOOKUP(School_Code&amp;"Hispanic/Latino",School_Data,73,FALSE)))</f>
        <v>--</v>
      </c>
      <c r="K58" s="104" t="str">
        <f>IF(ISERROR(VLOOKUP(School_Code&amp;"Hispanic/Latino",School_Data,74,FALSE)),"",(VLOOKUP(School_Code&amp;"Hispanic/Latino",School_Data,74,FALSE)))</f>
        <v>--</v>
      </c>
      <c r="L58" s="361"/>
    </row>
    <row r="59" spans="2:12" s="3" customFormat="1" ht="15" customHeight="1">
      <c r="B59" s="99" t="s">
        <v>46</v>
      </c>
      <c r="C59" s="82" t="str">
        <f>IF(ISERROR(VLOOKUP(School_Code&amp;"Multi-race, Non-Hisp./Lat.",School_Data,66,FALSE)),"",(VLOOKUP(School_Code&amp;"Multi-race, Non-Hisp./Lat.",School_Data,66,FALSE)))</f>
        <v>--</v>
      </c>
      <c r="D59" s="103" t="str">
        <f>IF(ISERROR(VLOOKUP(School_Code&amp;"Multi-race, Non-Hisp./Lat.",School_Data,67,FALSE)),"",(VLOOKUP(School_Code&amp;"Multi-race, Non-Hisp./Lat.",School_Data,67,FALSE)))</f>
        <v>--</v>
      </c>
      <c r="E59" s="83" t="str">
        <f>IF(ISERROR(VLOOKUP(School_Code&amp;"Multi-race, Non-Hisp./Lat.",School_Data,68,FALSE)),"",(VLOOKUP(School_Code&amp;"Multi-race, Non-Hisp./Lat.",School_Data,68,FALSE)))</f>
        <v>--</v>
      </c>
      <c r="F59" s="103" t="str">
        <f>IF(ISERROR(VLOOKUP(School_Code&amp;"Multi-race, Non-Hisp./Lat.",School_Data,69,FALSE)),"",(VLOOKUP(School_Code&amp;"Multi-race, Non-Hisp./Lat.",School_Data,69,FALSE)))</f>
        <v>--</v>
      </c>
      <c r="G59" s="103" t="str">
        <f>IF(ISERROR(VLOOKUP(School_Code&amp;"Multi-race, Non-Hisp./Lat.",School_Data,70,FALSE)),"",(VLOOKUP(School_Code&amp;"Multi-race, Non-Hisp./Lat.",School_Data,70,FALSE)))</f>
        <v>--</v>
      </c>
      <c r="H59" s="103" t="str">
        <f>IF(ISERROR(VLOOKUP(School_Code&amp;"Multi-race, Non-Hisp./Lat.",School_Data,71,FALSE)),"",(VLOOKUP(School_Code&amp;"Multi-race, Non-Hisp./Lat.",School_Data,71,FALSE)))</f>
        <v>--</v>
      </c>
      <c r="I59" s="103" t="str">
        <f>IF(ISERROR(VLOOKUP(School_Code&amp;"Multi-race, Non-Hisp./Lat.",School_Data,72,FALSE)),"",(VLOOKUP(School_Code&amp;"Multi-race, Non-Hisp./Lat.",School_Data,72,FALSE)))</f>
        <v>--</v>
      </c>
      <c r="J59" s="103" t="str">
        <f>IF(ISERROR(VLOOKUP(School_Code&amp;"Multi-race, Non-Hisp./Lat.",School_Data,73,FALSE)),"",(VLOOKUP(School_Code&amp;"Multi-race, Non-Hisp./Lat.",School_Data,73,FALSE)))</f>
        <v>--</v>
      </c>
      <c r="K59" s="104" t="str">
        <f>IF(ISERROR(VLOOKUP(School_Code&amp;"Multi-race, Non-Hisp./Lat.",School_Data,74,FALSE)),"",(VLOOKUP(School_Code&amp;"Multi-race, Non-Hisp./Lat.",School_Data,74,FALSE)))</f>
        <v>--</v>
      </c>
      <c r="L59" s="361"/>
    </row>
    <row r="60" spans="2:12" s="3" customFormat="1" ht="15" customHeight="1">
      <c r="B60" s="99" t="s">
        <v>47</v>
      </c>
      <c r="C60" s="82" t="str">
        <f>IF(ISERROR(VLOOKUP(School_Code&amp;"Nat. Haw. or Pacif. Isl.",School_Data,66,FALSE)),"",(VLOOKUP(School_Code&amp;"Nat. Haw. or Pacif. Isl.",School_Data,66,FALSE)))</f>
        <v>--</v>
      </c>
      <c r="D60" s="103" t="str">
        <f>IF(ISERROR(VLOOKUP(School_Code&amp;"Nat. Haw. or Pacif. Isl.",School_Data,67,FALSE)),"",(VLOOKUP(School_Code&amp;"Nat. Haw. or Pacif. Isl.",School_Data,67,FALSE)))</f>
        <v>--</v>
      </c>
      <c r="E60" s="83" t="str">
        <f>IF(ISERROR(VLOOKUP(School_Code&amp;"Nat. Haw. or Pacif. Isl.",School_Data,68,FALSE)),"",(VLOOKUP(School_Code&amp;"Nat. Haw. or Pacif. Isl.",School_Data,68,FALSE)))</f>
        <v>--</v>
      </c>
      <c r="F60" s="103" t="str">
        <f>IF(ISERROR(VLOOKUP(School_Code&amp;"Nat. Haw. or Pacif. Isl.",School_Data,69,FALSE)),"",(VLOOKUP(School_Code&amp;"Nat. Haw. or Pacif. Isl.",School_Data,69,FALSE)))</f>
        <v>--</v>
      </c>
      <c r="G60" s="103" t="str">
        <f>IF(ISERROR(VLOOKUP(School_Code&amp;"Nat. Haw. or Pacif. Isl.",School_Data,70,FALSE)),"",(VLOOKUP(School_Code&amp;"Nat. Haw. or Pacif. Isl.",School_Data,70,FALSE)))</f>
        <v>--</v>
      </c>
      <c r="H60" s="103" t="str">
        <f>IF(ISERROR(VLOOKUP(School_Code&amp;"Nat. Haw. or Pacif. Isl.",School_Data,71,FALSE)),"",(VLOOKUP(School_Code&amp;"Nat. Haw. or Pacif. Isl.",School_Data,71,FALSE)))</f>
        <v>--</v>
      </c>
      <c r="I60" s="103" t="str">
        <f>IF(ISERROR(VLOOKUP(School_Code&amp;"Nat. Haw. or Pacif. Isl.",School_Data,72,FALSE)),"",(VLOOKUP(School_Code&amp;"Nat. Haw. or Pacif. Isl.",School_Data,72,FALSE)))</f>
        <v>--</v>
      </c>
      <c r="J60" s="103" t="str">
        <f>IF(ISERROR(VLOOKUP(School_Code&amp;"Nat. Haw. or Pacif. Isl.",School_Data,73,FALSE)),"",(VLOOKUP(School_Code&amp;"Nat. Haw. or Pacif. Isl.",School_Data,73,FALSE)))</f>
        <v>--</v>
      </c>
      <c r="K60" s="104" t="str">
        <f>IF(ISERROR(VLOOKUP(School_Code&amp;"Nat. Haw. or Pacif. Isl.",School_Data,74,FALSE)),"",(VLOOKUP(School_Code&amp;"Nat. Haw. or Pacif. Isl.",School_Data,74,FALSE)))</f>
        <v>--</v>
      </c>
      <c r="L60" s="361"/>
    </row>
    <row r="61" spans="2:12" s="3" customFormat="1" ht="15" customHeight="1">
      <c r="B61" s="110" t="s">
        <v>17</v>
      </c>
      <c r="C61" s="105">
        <f>IF(ISERROR(VLOOKUP(School_Code&amp;"White",School_Data,66,FALSE)),"",(VLOOKUP(School_Code&amp;"White",School_Data,66,FALSE)))</f>
        <v>34</v>
      </c>
      <c r="D61" s="106">
        <f>IF(ISERROR(VLOOKUP(School_Code&amp;"White",School_Data,67,FALSE)),"",(VLOOKUP(School_Code&amp;"White",School_Data,67,FALSE)))</f>
        <v>44</v>
      </c>
      <c r="E61" s="107">
        <f>IF(ISERROR(VLOOKUP(School_Code&amp;"White",School_Data,68,FALSE)),"",(VLOOKUP(School_Code&amp;"White",School_Data,68,FALSE)))</f>
        <v>69.5</v>
      </c>
      <c r="F61" s="106">
        <f>IF(ISERROR(VLOOKUP(School_Code&amp;"White",School_Data,69,FALSE)),"",(VLOOKUP(School_Code&amp;"White",School_Data,69,FALSE)))</f>
        <v>51</v>
      </c>
      <c r="G61" s="106">
        <f>IF(ISERROR(VLOOKUP(School_Code&amp;"White",School_Data,70,FALSE)),"",(VLOOKUP(School_Code&amp;"White",School_Data,70,FALSE)))</f>
        <v>34</v>
      </c>
      <c r="H61" s="106">
        <f>IF(ISERROR(VLOOKUP(School_Code&amp;"White",School_Data,71,FALSE)),"",(VLOOKUP(School_Code&amp;"White",School_Data,71,FALSE)))</f>
        <v>51</v>
      </c>
      <c r="I61" s="106">
        <f>IF(ISERROR(VLOOKUP(School_Code&amp;"White",School_Data,72,FALSE)),"",(VLOOKUP(School_Code&amp;"White",School_Data,72,FALSE)))</f>
        <v>51</v>
      </c>
      <c r="J61" s="106">
        <f>IF(ISERROR(VLOOKUP(School_Code&amp;"White",School_Data,73,FALSE)),"",(VLOOKUP(School_Code&amp;"White",School_Data,73,FALSE)))</f>
        <v>51</v>
      </c>
      <c r="K61" s="108">
        <f>IF(ISERROR(VLOOKUP(School_Code&amp;"White",School_Data,74,FALSE)),"",(VLOOKUP(School_Code&amp;"White",School_Data,74,FALSE)))</f>
        <v>51</v>
      </c>
      <c r="L61" s="374"/>
    </row>
    <row r="62" spans="2:12" s="3" customFormat="1" ht="125.45" customHeight="1">
      <c r="B62" s="97" t="s">
        <v>282</v>
      </c>
      <c r="C62" s="299">
        <f>IF(ISERROR(VLOOKUP(School_Code&amp;"All students",School_Data,75,FALSE)),"",(VLOOKUP(School_Code&amp;"All students",School_Data,75,FALSE)))</f>
        <v>39</v>
      </c>
      <c r="D62" s="356">
        <f>IF(ISERROR(VLOOKUP(School_Code&amp;"All students",School_Data,76,FALSE)),"",(VLOOKUP(School_Code&amp;"All students",School_Data,76,FALSE)))</f>
        <v>49</v>
      </c>
      <c r="E62" s="364">
        <f>IF(ISERROR(VLOOKUP(School_Code&amp;"All students",School_Data,77,FALSE)),"",(VLOOKUP(School_Code&amp;"All students",School_Data,77,FALSE)))</f>
        <v>58.5</v>
      </c>
      <c r="F62" s="356">
        <f>IF(ISERROR(VLOOKUP(School_Code&amp;"All students",School_Data,78,FALSE)),"",(VLOOKUP(School_Code&amp;"All students",School_Data,78,FALSE)))</f>
        <v>51</v>
      </c>
      <c r="G62" s="356">
        <f>IF(ISERROR(VLOOKUP(School_Code&amp;"All students",School_Data,79,FALSE)),"",(VLOOKUP(School_Code&amp;"All students",School_Data,79,FALSE)))</f>
        <v>60</v>
      </c>
      <c r="H62" s="356">
        <f>IF(ISERROR(VLOOKUP(School_Code&amp;"All students",School_Data,80,FALSE)),"",(VLOOKUP(School_Code&amp;"All students",School_Data,80,FALSE)))</f>
        <v>51</v>
      </c>
      <c r="I62" s="356">
        <f>IF(ISERROR(VLOOKUP(School_Code&amp;"All students",School_Data,81,FALSE)),"",(VLOOKUP(School_Code&amp;"All students",School_Data,81,FALSE)))</f>
        <v>51</v>
      </c>
      <c r="J62" s="356">
        <f>IF(ISERROR(VLOOKUP(School_Code&amp;"All students",School_Data,82,FALSE)),"",(VLOOKUP(School_Code&amp;"All students",School_Data,82,FALSE)))</f>
        <v>51</v>
      </c>
      <c r="K62" s="366">
        <f>IF(ISERROR(VLOOKUP(School_Code&amp;"All students",School_Data,83,FALSE)),"",(VLOOKUP(School_Code&amp;"All students",School_Data,83,FALSE)))</f>
        <v>51</v>
      </c>
      <c r="L62" s="361" t="s">
        <v>319</v>
      </c>
    </row>
    <row r="63" spans="2:12" s="3" customFormat="1" ht="25.5" hidden="1">
      <c r="B63" s="98" t="s">
        <v>39</v>
      </c>
      <c r="C63" s="363"/>
      <c r="D63" s="357"/>
      <c r="E63" s="365"/>
      <c r="F63" s="357"/>
      <c r="G63" s="357"/>
      <c r="H63" s="357"/>
      <c r="I63" s="357"/>
      <c r="J63" s="357"/>
      <c r="K63" s="367"/>
      <c r="L63" s="361"/>
    </row>
    <row r="64" spans="2:12" s="3" customFormat="1" ht="15" customHeight="1">
      <c r="B64" s="99" t="s">
        <v>16</v>
      </c>
      <c r="C64" s="82">
        <f>IF(ISERROR(VLOOKUP(School_Code&amp;"High needs",School_Data,75,FALSE)),"",(VLOOKUP(School_Code&amp;"High needs",School_Data,75,FALSE)))</f>
        <v>41</v>
      </c>
      <c r="D64" s="103">
        <f>IF(ISERROR(VLOOKUP(School_Code&amp;"High needs",School_Data,76,FALSE)),"",(VLOOKUP(School_Code&amp;"High needs",School_Data,76,FALSE)))</f>
        <v>51</v>
      </c>
      <c r="E64" s="83">
        <f>IF(ISERROR(VLOOKUP(School_Code&amp;"High needs",School_Data,77,FALSE)),"",(VLOOKUP(School_Code&amp;"High needs",School_Data,77,FALSE)))</f>
        <v>59</v>
      </c>
      <c r="F64" s="103">
        <f>IF(ISERROR(VLOOKUP(School_Code&amp;"High needs",School_Data,78,FALSE)),"",(VLOOKUP(School_Code&amp;"High needs",School_Data,78,FALSE)))</f>
        <v>51</v>
      </c>
      <c r="G64" s="103">
        <f>IF(ISERROR(VLOOKUP(School_Code&amp;"High needs",School_Data,79,FALSE)),"",(VLOOKUP(School_Code&amp;"High needs",School_Data,79,FALSE)))</f>
        <v>61</v>
      </c>
      <c r="H64" s="103">
        <f>IF(ISERROR(VLOOKUP(School_Code&amp;"High needs",School_Data,80,FALSE)),"",(VLOOKUP(School_Code&amp;"High needs",School_Data,80,FALSE)))</f>
        <v>51</v>
      </c>
      <c r="I64" s="103">
        <f>IF(ISERROR(VLOOKUP(School_Code&amp;"High needs",School_Data,81,FALSE)),"",(VLOOKUP(School_Code&amp;"High needs",School_Data,81,FALSE)))</f>
        <v>51</v>
      </c>
      <c r="J64" s="103">
        <f>IF(ISERROR(VLOOKUP(School_Code&amp;"High needs",School_Data,82,FALSE)),"",(VLOOKUP(School_Code&amp;"High needs",School_Data,82,FALSE)))</f>
        <v>51</v>
      </c>
      <c r="K64" s="104">
        <f>IF(ISERROR(VLOOKUP(School_Code&amp;"High needs",School_Data,83,FALSE)),"",(VLOOKUP(School_Code&amp;"High needs",School_Data,83,FALSE)))</f>
        <v>51</v>
      </c>
      <c r="L64" s="361"/>
    </row>
    <row r="65" spans="2:12" s="3" customFormat="1" ht="15" customHeight="1">
      <c r="B65" s="99" t="s">
        <v>13</v>
      </c>
      <c r="C65" s="82">
        <f>IF(ISERROR(VLOOKUP(School_Code&amp;"Low income",School_Data,75,FALSE)),"",(VLOOKUP(School_Code&amp;"Low income",School_Data,75,FALSE)))</f>
        <v>40</v>
      </c>
      <c r="D65" s="103">
        <f>IF(ISERROR(VLOOKUP(School_Code&amp;"Low income",School_Data,76,FALSE)),"",(VLOOKUP(School_Code&amp;"Low income",School_Data,76,FALSE)))</f>
        <v>50</v>
      </c>
      <c r="E65" s="83">
        <f>IF(ISERROR(VLOOKUP(School_Code&amp;"Low income",School_Data,77,FALSE)),"",(VLOOKUP(School_Code&amp;"Low income",School_Data,77,FALSE)))</f>
        <v>58.5</v>
      </c>
      <c r="F65" s="103">
        <f>IF(ISERROR(VLOOKUP(School_Code&amp;"Low income",School_Data,78,FALSE)),"",(VLOOKUP(School_Code&amp;"Low income",School_Data,78,FALSE)))</f>
        <v>51</v>
      </c>
      <c r="G65" s="103">
        <f>IF(ISERROR(VLOOKUP(School_Code&amp;"Low income",School_Data,79,FALSE)),"",(VLOOKUP(School_Code&amp;"Low income",School_Data,79,FALSE)))</f>
        <v>61.5</v>
      </c>
      <c r="H65" s="103">
        <f>IF(ISERROR(VLOOKUP(School_Code&amp;"Low income",School_Data,80,FALSE)),"",(VLOOKUP(School_Code&amp;"Low income",School_Data,80,FALSE)))</f>
        <v>51</v>
      </c>
      <c r="I65" s="103">
        <f>IF(ISERROR(VLOOKUP(School_Code&amp;"Low income",School_Data,81,FALSE)),"",(VLOOKUP(School_Code&amp;"Low income",School_Data,81,FALSE)))</f>
        <v>51</v>
      </c>
      <c r="J65" s="103">
        <f>IF(ISERROR(VLOOKUP(School_Code&amp;"Low income",School_Data,82,FALSE)),"",(VLOOKUP(School_Code&amp;"Low income",School_Data,82,FALSE)))</f>
        <v>51</v>
      </c>
      <c r="K65" s="104">
        <f>IF(ISERROR(VLOOKUP(School_Code&amp;"Low income",School_Data,83,FALSE)),"",(VLOOKUP(School_Code&amp;"Low income",School_Data,83,FALSE)))</f>
        <v>51</v>
      </c>
      <c r="L65" s="361"/>
    </row>
    <row r="66" spans="2:12" s="3" customFormat="1" ht="15" customHeight="1">
      <c r="B66" s="99" t="s">
        <v>15</v>
      </c>
      <c r="C66" s="82" t="str">
        <f>IF(ISERROR(VLOOKUP(School_Code&amp;"ELL and Former ELL",School_Data,75,FALSE)),"",(VLOOKUP(School_Code&amp;"ELL and Former ELL",School_Data,75,FALSE)))</f>
        <v>--</v>
      </c>
      <c r="D66" s="103" t="str">
        <f>IF(ISERROR(VLOOKUP(School_Code&amp;"ELL and Former ELL",School_Data,76,FALSE)),"",(VLOOKUP(School_Code&amp;"ELL and Former ELL",School_Data,76,FALSE)))</f>
        <v>--</v>
      </c>
      <c r="E66" s="83" t="str">
        <f>IF(ISERROR(VLOOKUP(School_Code&amp;"ELL and Former ELL",School_Data,77,FALSE)),"",(VLOOKUP(School_Code&amp;"ELL and Former ELL",School_Data,77,FALSE)))</f>
        <v>--</v>
      </c>
      <c r="F66" s="103" t="str">
        <f>IF(ISERROR(VLOOKUP(School_Code&amp;"ELL and Former ELL",School_Data,78,FALSE)),"",(VLOOKUP(School_Code&amp;"ELL and Former ELL",School_Data,78,FALSE)))</f>
        <v>--</v>
      </c>
      <c r="G66" s="103" t="str">
        <f>IF(ISERROR(VLOOKUP(School_Code&amp;"ELL and Former ELL",School_Data,79,FALSE)),"",(VLOOKUP(School_Code&amp;"ELL and Former ELL",School_Data,79,FALSE)))</f>
        <v>--</v>
      </c>
      <c r="H66" s="103" t="str">
        <f>IF(ISERROR(VLOOKUP(School_Code&amp;"ELL and Former ELL",School_Data,80,FALSE)),"",(VLOOKUP(School_Code&amp;"ELL and Former ELL",School_Data,80,FALSE)))</f>
        <v>--</v>
      </c>
      <c r="I66" s="103" t="str">
        <f>IF(ISERROR(VLOOKUP(School_Code&amp;"ELL and Former ELL",School_Data,81,FALSE)),"",(VLOOKUP(School_Code&amp;"ELL and Former ELL",School_Data,81,FALSE)))</f>
        <v>--</v>
      </c>
      <c r="J66" s="103" t="str">
        <f>IF(ISERROR(VLOOKUP(School_Code&amp;"ELL and Former ELL",School_Data,82,FALSE)),"",(VLOOKUP(School_Code&amp;"ELL and Former ELL",School_Data,82,FALSE)))</f>
        <v>--</v>
      </c>
      <c r="K66" s="104" t="str">
        <f>IF(ISERROR(VLOOKUP(School_Code&amp;"ELL and Former ELL",School_Data,83,FALSE)),"",(VLOOKUP(School_Code&amp;"ELL and Former ELL",School_Data,83,FALSE)))</f>
        <v>--</v>
      </c>
      <c r="L66" s="361"/>
    </row>
    <row r="67" spans="2:12" s="3" customFormat="1" ht="15" customHeight="1">
      <c r="B67" s="99" t="s">
        <v>12</v>
      </c>
      <c r="C67" s="82" t="str">
        <f>IF(ISERROR(VLOOKUP(School_Code&amp;"Students w/disabilities",School_Data,75,FALSE)),"",(VLOOKUP(School_Code&amp;"Students w/disabilities",School_Data,75,FALSE)))</f>
        <v>--</v>
      </c>
      <c r="D67" s="103" t="str">
        <f>IF(ISERROR(VLOOKUP(School_Code&amp;"Students w/disabilities",School_Data,76,FALSE)),"",(VLOOKUP(School_Code&amp;"Students w/disabilities",School_Data,76,FALSE)))</f>
        <v>--</v>
      </c>
      <c r="E67" s="83" t="str">
        <f>IF(ISERROR(VLOOKUP(School_Code&amp;"Students w/disabilities",School_Data,77,FALSE)),"",(VLOOKUP(School_Code&amp;"Students w/disabilities",School_Data,77,FALSE)))</f>
        <v>--</v>
      </c>
      <c r="F67" s="103" t="str">
        <f>IF(ISERROR(VLOOKUP(School_Code&amp;"Students w/disabilities",School_Data,78,FALSE)),"",(VLOOKUP(School_Code&amp;"Students w/disabilities",School_Data,78,FALSE)))</f>
        <v>--</v>
      </c>
      <c r="G67" s="103" t="str">
        <f>IF(ISERROR(VLOOKUP(School_Code&amp;"Students w/disabilities",School_Data,79,FALSE)),"",(VLOOKUP(School_Code&amp;"Students w/disabilities",School_Data,79,FALSE)))</f>
        <v>--</v>
      </c>
      <c r="H67" s="103" t="str">
        <f>IF(ISERROR(VLOOKUP(School_Code&amp;"Students w/disabilities",School_Data,80,FALSE)),"",(VLOOKUP(School_Code&amp;"Students w/disabilities",School_Data,80,FALSE)))</f>
        <v>--</v>
      </c>
      <c r="I67" s="103" t="str">
        <f>IF(ISERROR(VLOOKUP(School_Code&amp;"Students w/disabilities",School_Data,81,FALSE)),"",(VLOOKUP(School_Code&amp;"Students w/disabilities",School_Data,81,FALSE)))</f>
        <v>--</v>
      </c>
      <c r="J67" s="103" t="str">
        <f>IF(ISERROR(VLOOKUP(School_Code&amp;"Students w/disabilities",School_Data,82,FALSE)),"",(VLOOKUP(School_Code&amp;"Students w/disabilities",School_Data,82,FALSE)))</f>
        <v>--</v>
      </c>
      <c r="K67" s="104" t="str">
        <f>IF(ISERROR(VLOOKUP(School_Code&amp;"Students w/disabilities",School_Data,83,FALSE)),"",(VLOOKUP(School_Code&amp;"Students w/disabilities",School_Data,83,FALSE)))</f>
        <v>--</v>
      </c>
      <c r="L67" s="361"/>
    </row>
    <row r="68" spans="2:12" s="3" customFormat="1" ht="15" customHeight="1">
      <c r="B68" s="99" t="s">
        <v>44</v>
      </c>
      <c r="C68" s="82" t="str">
        <f>IF(ISERROR(VLOOKUP(School_Code&amp;"Amer. Ind. or Alaska Nat.",School_Data,75,FALSE)),"",(VLOOKUP(School_Code&amp;"Amer. Ind. or Alaska Nat.",School_Data,75,FALSE)))</f>
        <v>--</v>
      </c>
      <c r="D68" s="103" t="str">
        <f>IF(ISERROR(VLOOKUP(School_Code&amp;"Amer. Ind. or Alaska Nat.",School_Data,76,FALSE)),"",(VLOOKUP(School_Code&amp;"Amer. Ind. or Alaska Nat.",School_Data,76,FALSE)))</f>
        <v>--</v>
      </c>
      <c r="E68" s="83" t="str">
        <f>IF(ISERROR(VLOOKUP(School_Code&amp;"Amer. Ind. or Alaska Nat.",School_Data,77,FALSE)),"",(VLOOKUP(School_Code&amp;"Amer. Ind. or Alaska Nat.",School_Data,77,FALSE)))</f>
        <v>--</v>
      </c>
      <c r="F68" s="103" t="str">
        <f>IF(ISERROR(VLOOKUP(School_Code&amp;"Amer. Ind. or Alaska Nat.",School_Data,78,FALSE)),"",(VLOOKUP(School_Code&amp;"Amer. Ind. or Alaska Nat.",School_Data,78,FALSE)))</f>
        <v>--</v>
      </c>
      <c r="G68" s="103" t="str">
        <f>IF(ISERROR(VLOOKUP(School_Code&amp;"Amer. Ind. or Alaska Nat.",School_Data,79,FALSE)),"",(VLOOKUP(School_Code&amp;"Amer. Ind. or Alaska Nat.",School_Data,79,FALSE)))</f>
        <v>--</v>
      </c>
      <c r="H68" s="103" t="str">
        <f>IF(ISERROR(VLOOKUP(School_Code&amp;"Amer. Ind. or Alaska Nat.",School_Data,80,FALSE)),"",(VLOOKUP(School_Code&amp;"Amer. Ind. or Alaska Nat.",School_Data,80,FALSE)))</f>
        <v>--</v>
      </c>
      <c r="I68" s="103" t="str">
        <f>IF(ISERROR(VLOOKUP(School_Code&amp;"Amer. Ind. or Alaska Nat.",School_Data,81,FALSE)),"",(VLOOKUP(School_Code&amp;"Amer. Ind. or Alaska Nat.",School_Data,81,FALSE)))</f>
        <v>--</v>
      </c>
      <c r="J68" s="103" t="str">
        <f>IF(ISERROR(VLOOKUP(School_Code&amp;"Amer. Ind. or Alaska Nat.",School_Data,82,FALSE)),"",(VLOOKUP(School_Code&amp;"Amer. Ind. or Alaska Nat.",School_Data,82,FALSE)))</f>
        <v>--</v>
      </c>
      <c r="K68" s="104" t="str">
        <f>IF(ISERROR(VLOOKUP(School_Code&amp;"Amer. Ind. or Alaska Nat.",School_Data,83,FALSE)),"",(VLOOKUP(School_Code&amp;"Amer. Ind. or Alaska Nat.",School_Data,83,FALSE)))</f>
        <v>--</v>
      </c>
      <c r="L68" s="361"/>
    </row>
    <row r="69" spans="2:12" s="3" customFormat="1" ht="15" customHeight="1">
      <c r="B69" s="99" t="s">
        <v>45</v>
      </c>
      <c r="C69" s="82" t="str">
        <f>IF(ISERROR(VLOOKUP(School_Code&amp;"Asian",School_Data,75,FALSE)),"",(VLOOKUP(School_Code&amp;"Asian",School_Data,75,FALSE)))</f>
        <v>--</v>
      </c>
      <c r="D69" s="103" t="str">
        <f>IF(ISERROR(VLOOKUP(School_Code&amp;"Asian",School_Data,76,FALSE)),"",(VLOOKUP(School_Code&amp;"Asian",School_Data,76,FALSE)))</f>
        <v>--</v>
      </c>
      <c r="E69" s="83" t="str">
        <f>IF(ISERROR(VLOOKUP(School_Code&amp;"Asian",School_Data,77,FALSE)),"",(VLOOKUP(School_Code&amp;"Asian",School_Data,77,FALSE)))</f>
        <v>--</v>
      </c>
      <c r="F69" s="103" t="str">
        <f>IF(ISERROR(VLOOKUP(School_Code&amp;"Asian",School_Data,78,FALSE)),"",(VLOOKUP(School_Code&amp;"Asian",School_Data,78,FALSE)))</f>
        <v>--</v>
      </c>
      <c r="G69" s="103" t="str">
        <f>IF(ISERROR(VLOOKUP(School_Code&amp;"Asian",School_Data,79,FALSE)),"",(VLOOKUP(School_Code&amp;"Asian",School_Data,79,FALSE)))</f>
        <v>--</v>
      </c>
      <c r="H69" s="103" t="str">
        <f>IF(ISERROR(VLOOKUP(School_Code&amp;"Asian",School_Data,80,FALSE)),"",(VLOOKUP(School_Code&amp;"Asian",School_Data,80,FALSE)))</f>
        <v>--</v>
      </c>
      <c r="I69" s="103" t="str">
        <f>IF(ISERROR(VLOOKUP(School_Code&amp;"Asian",School_Data,81,FALSE)),"",(VLOOKUP(School_Code&amp;"Asian",School_Data,81,FALSE)))</f>
        <v>--</v>
      </c>
      <c r="J69" s="103" t="str">
        <f>IF(ISERROR(VLOOKUP(School_Code&amp;"Asian",School_Data,82,FALSE)),"",(VLOOKUP(School_Code&amp;"Asian",School_Data,82,FALSE)))</f>
        <v>--</v>
      </c>
      <c r="K69" s="104" t="str">
        <f>IF(ISERROR(VLOOKUP(School_Code&amp;"Asian",School_Data,83,FALSE)),"",(VLOOKUP(School_Code&amp;"Asian",School_Data,83,FALSE)))</f>
        <v>--</v>
      </c>
      <c r="L69" s="361"/>
    </row>
    <row r="70" spans="2:12" s="3" customFormat="1" ht="15" customHeight="1">
      <c r="B70" s="99" t="s">
        <v>11</v>
      </c>
      <c r="C70" s="82" t="str">
        <f>IF(ISERROR(VLOOKUP(School_Code&amp;"Afr. Amer/Black",School_Data,75,FALSE)),"",(VLOOKUP(School_Code&amp;"Afr. Amer/Black",School_Data,75,FALSE)))</f>
        <v>--</v>
      </c>
      <c r="D70" s="103" t="str">
        <f>IF(ISERROR(VLOOKUP(School_Code&amp;"Afr. Amer/Black",School_Data,76,FALSE)),"",(VLOOKUP(School_Code&amp;"Afr. Amer/Black",School_Data,76,FALSE)))</f>
        <v>--</v>
      </c>
      <c r="E70" s="83" t="str">
        <f>IF(ISERROR(VLOOKUP(School_Code&amp;"Afr. Amer/Black",School_Data,77,FALSE)),"",(VLOOKUP(School_Code&amp;"Afr. Amer/Black",School_Data,77,FALSE)))</f>
        <v>--</v>
      </c>
      <c r="F70" s="103" t="str">
        <f>IF(ISERROR(VLOOKUP(School_Code&amp;"Afr. Amer/Black",School_Data,78,FALSE)),"",(VLOOKUP(School_Code&amp;"Afr. Amer/Black",School_Data,78,FALSE)))</f>
        <v>--</v>
      </c>
      <c r="G70" s="103" t="str">
        <f>IF(ISERROR(VLOOKUP(School_Code&amp;"Afr. Amer/Black",School_Data,79,FALSE)),"",(VLOOKUP(School_Code&amp;"Afr. Amer/Black",School_Data,79,FALSE)))</f>
        <v>--</v>
      </c>
      <c r="H70" s="103" t="str">
        <f>IF(ISERROR(VLOOKUP(School_Code&amp;"Afr. Amer/Black",School_Data,80,FALSE)),"",(VLOOKUP(School_Code&amp;"Afr. Amer/Black",School_Data,80,FALSE)))</f>
        <v>--</v>
      </c>
      <c r="I70" s="103" t="str">
        <f>IF(ISERROR(VLOOKUP(School_Code&amp;"Afr. Amer/Black",School_Data,81,FALSE)),"",(VLOOKUP(School_Code&amp;"Afr. Amer/Black",School_Data,81,FALSE)))</f>
        <v>--</v>
      </c>
      <c r="J70" s="103" t="str">
        <f>IF(ISERROR(VLOOKUP(School_Code&amp;"Afr. Amer/Black",School_Data,82,FALSE)),"",(VLOOKUP(School_Code&amp;"Afr. Amer/Black",School_Data,82,FALSE)))</f>
        <v>--</v>
      </c>
      <c r="K70" s="104" t="str">
        <f>IF(ISERROR(VLOOKUP(School_Code&amp;"Afr. Amer/Black",School_Data,83,FALSE)),"",(VLOOKUP(School_Code&amp;"Afr. Amer/Black",School_Data,83,FALSE)))</f>
        <v>--</v>
      </c>
      <c r="L70" s="361"/>
    </row>
    <row r="71" spans="2:12" s="3" customFormat="1" ht="15" customHeight="1">
      <c r="B71" s="99" t="s">
        <v>14</v>
      </c>
      <c r="C71" s="82" t="str">
        <f>IF(ISERROR(VLOOKUP(School_Code&amp;"Hispanic/Latino",School_Data,75,FALSE)),"",(VLOOKUP(School_Code&amp;"Hispanic/Latino",School_Data,75,FALSE)))</f>
        <v>--</v>
      </c>
      <c r="D71" s="103" t="str">
        <f>IF(ISERROR(VLOOKUP(School_Code&amp;"Hispanic/Latino",School_Data,76,FALSE)),"",(VLOOKUP(School_Code&amp;"Hispanic/Latino",School_Data,76,FALSE)))</f>
        <v>--</v>
      </c>
      <c r="E71" s="83" t="str">
        <f>IF(ISERROR(VLOOKUP(School_Code&amp;"Hispanic/Latino",School_Data,77,FALSE)),"",(VLOOKUP(School_Code&amp;"Hispanic/Latino",School_Data,77,FALSE)))</f>
        <v>--</v>
      </c>
      <c r="F71" s="103" t="str">
        <f>IF(ISERROR(VLOOKUP(School_Code&amp;"Hispanic/Latino",School_Data,78,FALSE)),"",(VLOOKUP(School_Code&amp;"Hispanic/Latino",School_Data,78,FALSE)))</f>
        <v>--</v>
      </c>
      <c r="G71" s="103" t="str">
        <f>IF(ISERROR(VLOOKUP(School_Code&amp;"Hispanic/Latino",School_Data,79,FALSE)),"",(VLOOKUP(School_Code&amp;"Hispanic/Latino",School_Data,79,FALSE)))</f>
        <v>--</v>
      </c>
      <c r="H71" s="103" t="str">
        <f>IF(ISERROR(VLOOKUP(School_Code&amp;"Hispanic/Latino",School_Data,80,FALSE)),"",(VLOOKUP(School_Code&amp;"Hispanic/Latino",School_Data,80,FALSE)))</f>
        <v>--</v>
      </c>
      <c r="I71" s="103" t="str">
        <f>IF(ISERROR(VLOOKUP(School_Code&amp;"Hispanic/Latino",School_Data,81,FALSE)),"",(VLOOKUP(School_Code&amp;"Hispanic/Latino",School_Data,81,FALSE)))</f>
        <v>--</v>
      </c>
      <c r="J71" s="103" t="str">
        <f>IF(ISERROR(VLOOKUP(School_Code&amp;"Hispanic/Latino",School_Data,82,FALSE)),"",(VLOOKUP(School_Code&amp;"Hispanic/Latino",School_Data,82,FALSE)))</f>
        <v>--</v>
      </c>
      <c r="K71" s="104" t="str">
        <f>IF(ISERROR(VLOOKUP(School_Code&amp;"Hispanic/Latino",School_Data,83,FALSE)),"",(VLOOKUP(School_Code&amp;"Hispanic/Latino",School_Data,83,FALSE)))</f>
        <v>--</v>
      </c>
      <c r="L71" s="361"/>
    </row>
    <row r="72" spans="2:12" s="3" customFormat="1" ht="15" customHeight="1">
      <c r="B72" s="99" t="s">
        <v>46</v>
      </c>
      <c r="C72" s="82" t="str">
        <f>IF(ISERROR(VLOOKUP(School_Code&amp;"Multi-race, Non-Hisp./Lat.",School_Data,75,FALSE)),"",(VLOOKUP(School_Code&amp;"Multi-race, Non-Hisp./Lat.",School_Data,75,FALSE)))</f>
        <v>--</v>
      </c>
      <c r="D72" s="103" t="str">
        <f>IF(ISERROR(VLOOKUP(School_Code&amp;"Multi-race, Non-Hisp./Lat.",School_Data,76,FALSE)),"",(VLOOKUP(School_Code&amp;"Multi-race, Non-Hisp./Lat.",School_Data,76,FALSE)))</f>
        <v>--</v>
      </c>
      <c r="E72" s="83" t="str">
        <f>IF(ISERROR(VLOOKUP(School_Code&amp;"Multi-race, Non-Hisp./Lat.",School_Data,77,FALSE)),"",(VLOOKUP(School_Code&amp;"Multi-race, Non-Hisp./Lat.",School_Data,77,FALSE)))</f>
        <v>--</v>
      </c>
      <c r="F72" s="103" t="str">
        <f>IF(ISERROR(VLOOKUP(School_Code&amp;"Multi-race, Non-Hisp./Lat.",School_Data,78,FALSE)),"",(VLOOKUP(School_Code&amp;"Multi-race, Non-Hisp./Lat.",School_Data,78,FALSE)))</f>
        <v>--</v>
      </c>
      <c r="G72" s="103" t="str">
        <f>IF(ISERROR(VLOOKUP(School_Code&amp;"Multi-race, Non-Hisp./Lat.",School_Data,79,FALSE)),"",(VLOOKUP(School_Code&amp;"Multi-race, Non-Hisp./Lat.",School_Data,79,FALSE)))</f>
        <v>--</v>
      </c>
      <c r="H72" s="103" t="str">
        <f>IF(ISERROR(VLOOKUP(School_Code&amp;"Multi-race, Non-Hisp./Lat.",School_Data,80,FALSE)),"",(VLOOKUP(School_Code&amp;"Multi-race, Non-Hisp./Lat.",School_Data,80,FALSE)))</f>
        <v>--</v>
      </c>
      <c r="I72" s="103" t="str">
        <f>IF(ISERROR(VLOOKUP(School_Code&amp;"Multi-race, Non-Hisp./Lat.",School_Data,81,FALSE)),"",(VLOOKUP(School_Code&amp;"Multi-race, Non-Hisp./Lat.",School_Data,81,FALSE)))</f>
        <v>--</v>
      </c>
      <c r="J72" s="103" t="str">
        <f>IF(ISERROR(VLOOKUP(School_Code&amp;"Multi-race, Non-Hisp./Lat.",School_Data,82,FALSE)),"",(VLOOKUP(School_Code&amp;"Multi-race, Non-Hisp./Lat.",School_Data,82,FALSE)))</f>
        <v>--</v>
      </c>
      <c r="K72" s="104" t="str">
        <f>IF(ISERROR(VLOOKUP(School_Code&amp;"Multi-race, Non-Hisp./Lat.",School_Data,83,FALSE)),"",(VLOOKUP(School_Code&amp;"Multi-race, Non-Hisp./Lat.",School_Data,83,FALSE)))</f>
        <v>--</v>
      </c>
      <c r="L72" s="361"/>
    </row>
    <row r="73" spans="2:12" s="3" customFormat="1" ht="15" customHeight="1">
      <c r="B73" s="99" t="s">
        <v>47</v>
      </c>
      <c r="C73" s="82" t="str">
        <f>IF(ISERROR(VLOOKUP(School_Code&amp;"Nat. Haw. or Pacif. Isl.",School_Data,75,FALSE)),"",(VLOOKUP(School_Code&amp;"Nat. Haw. or Pacif. Isl.",School_Data,75,FALSE)))</f>
        <v>--</v>
      </c>
      <c r="D73" s="103" t="str">
        <f>IF(ISERROR(VLOOKUP(School_Code&amp;"Nat. Haw. or Pacif. Isl.",School_Data,76,FALSE)),"",(VLOOKUP(School_Code&amp;"Nat. Haw. or Pacif. Isl.",School_Data,76,FALSE)))</f>
        <v>--</v>
      </c>
      <c r="E73" s="83" t="str">
        <f>IF(ISERROR(VLOOKUP(School_Code&amp;"Nat. Haw. or Pacif. Isl.",School_Data,77,FALSE)),"",(VLOOKUP(School_Code&amp;"Nat. Haw. or Pacif. Isl.",School_Data,77,FALSE)))</f>
        <v>--</v>
      </c>
      <c r="F73" s="103" t="str">
        <f>IF(ISERROR(VLOOKUP(School_Code&amp;"Nat. Haw. or Pacif. Isl.",School_Data,78,FALSE)),"",(VLOOKUP(School_Code&amp;"Nat. Haw. or Pacif. Isl.",School_Data,78,FALSE)))</f>
        <v>--</v>
      </c>
      <c r="G73" s="103" t="str">
        <f>IF(ISERROR(VLOOKUP(School_Code&amp;"Nat. Haw. or Pacif. Isl.",School_Data,79,FALSE)),"",(VLOOKUP(School_Code&amp;"Nat. Haw. or Pacif. Isl.",School_Data,79,FALSE)))</f>
        <v>--</v>
      </c>
      <c r="H73" s="103" t="str">
        <f>IF(ISERROR(VLOOKUP(School_Code&amp;"Nat. Haw. or Pacif. Isl.",School_Data,80,FALSE)),"",(VLOOKUP(School_Code&amp;"Nat. Haw. or Pacif. Isl.",School_Data,80,FALSE)))</f>
        <v>--</v>
      </c>
      <c r="I73" s="103" t="str">
        <f>IF(ISERROR(VLOOKUP(School_Code&amp;"Nat. Haw. or Pacif. Isl.",School_Data,81,FALSE)),"",(VLOOKUP(School_Code&amp;"Nat. Haw. or Pacif. Isl.",School_Data,81,FALSE)))</f>
        <v>--</v>
      </c>
      <c r="J73" s="103" t="str">
        <f>IF(ISERROR(VLOOKUP(School_Code&amp;"Nat. Haw. or Pacif. Isl.",School_Data,82,FALSE)),"",(VLOOKUP(School_Code&amp;"Nat. Haw. or Pacif. Isl.",School_Data,82,FALSE)))</f>
        <v>--</v>
      </c>
      <c r="K73" s="104" t="str">
        <f>IF(ISERROR(VLOOKUP(School_Code&amp;"Nat. Haw. or Pacif. Isl.",School_Data,83,FALSE)),"",(VLOOKUP(School_Code&amp;"Nat. Haw. or Pacif. Isl.",School_Data,83,FALSE)))</f>
        <v>--</v>
      </c>
      <c r="L73" s="361"/>
    </row>
    <row r="74" spans="2:12" s="3" customFormat="1" ht="15" customHeight="1">
      <c r="B74" s="102" t="s">
        <v>17</v>
      </c>
      <c r="C74" s="105">
        <f>IF(ISERROR(VLOOKUP(School_Code&amp;"White",School_Data,75,FALSE)),"",(VLOOKUP(School_Code&amp;"White",School_Data,75,FALSE)))</f>
        <v>40</v>
      </c>
      <c r="D74" s="106">
        <f>IF(ISERROR(VLOOKUP(School_Code&amp;"White",School_Data,76,FALSE)),"",(VLOOKUP(School_Code&amp;"White",School_Data,76,FALSE)))</f>
        <v>50</v>
      </c>
      <c r="E74" s="107">
        <f>IF(ISERROR(VLOOKUP(School_Code&amp;"White",School_Data,77,FALSE)),"",(VLOOKUP(School_Code&amp;"White",School_Data,77,FALSE)))</f>
        <v>71</v>
      </c>
      <c r="F74" s="106">
        <f>IF(ISERROR(VLOOKUP(School_Code&amp;"White",School_Data,78,FALSE)),"",(VLOOKUP(School_Code&amp;"White",School_Data,78,FALSE)))</f>
        <v>51</v>
      </c>
      <c r="G74" s="106">
        <f>IF(ISERROR(VLOOKUP(School_Code&amp;"White",School_Data,79,FALSE)),"",(VLOOKUP(School_Code&amp;"White",School_Data,79,FALSE)))</f>
        <v>61</v>
      </c>
      <c r="H74" s="106">
        <f>IF(ISERROR(VLOOKUP(School_Code&amp;"White",School_Data,80,FALSE)),"",(VLOOKUP(School_Code&amp;"White",School_Data,80,FALSE)))</f>
        <v>51</v>
      </c>
      <c r="I74" s="106">
        <f>IF(ISERROR(VLOOKUP(School_Code&amp;"White",School_Data,81,FALSE)),"",(VLOOKUP(School_Code&amp;"White",School_Data,81,FALSE)))</f>
        <v>51</v>
      </c>
      <c r="J74" s="106">
        <f>IF(ISERROR(VLOOKUP(School_Code&amp;"White",School_Data,82,FALSE)),"",(VLOOKUP(School_Code&amp;"White",School_Data,82,FALSE)))</f>
        <v>51</v>
      </c>
      <c r="K74" s="108">
        <f>IF(ISERROR(VLOOKUP(School_Code&amp;"White",School_Data,83,FALSE)),"",(VLOOKUP(School_Code&amp;"White",School_Data,83,FALSE)))</f>
        <v>51</v>
      </c>
      <c r="L74" s="362"/>
    </row>
    <row r="75" spans="2:12" s="16" customFormat="1" ht="63.75">
      <c r="B75" s="113" t="s">
        <v>136</v>
      </c>
      <c r="C75" s="80"/>
      <c r="D75" s="81"/>
      <c r="E75" s="81"/>
      <c r="F75" s="81"/>
      <c r="G75" s="81"/>
      <c r="H75" s="81"/>
      <c r="I75" s="81"/>
      <c r="J75" s="81"/>
      <c r="K75" s="109"/>
      <c r="L75" s="50" t="s">
        <v>319</v>
      </c>
    </row>
    <row r="76" spans="2:12" s="3" customFormat="1" ht="38.25">
      <c r="B76" s="144" t="s">
        <v>350</v>
      </c>
      <c r="C76" s="299" t="str">
        <f>IF(ISERROR(VLOOKUP(School_Code&amp;"All students",School_Data,84,FALSE)),"",(VLOOKUP(School_Code&amp;"All students",School_Data,84,FALSE)))</f>
        <v>--</v>
      </c>
      <c r="D76" s="356" t="str">
        <f>IF(ISERROR(VLOOKUP(School_Code&amp;"All students",School_Data,85,FALSE)),"",(VLOOKUP(School_Code&amp;"All students",School_Data,85,FALSE)))</f>
        <v>--</v>
      </c>
      <c r="E76" s="364" t="str">
        <f>IF(ISERROR(VLOOKUP(School_Code&amp;"All students",School_Data,86,FALSE)),"",(VLOOKUP(School_Code&amp;"All students",School_Data,86,FALSE)))</f>
        <v>--</v>
      </c>
      <c r="F76" s="356" t="str">
        <f>IF(ISERROR(VLOOKUP(School_Code&amp;"All students",School_Data,87,FALSE)),"",(VLOOKUP(School_Code&amp;"All students",School_Data,87,FALSE)))</f>
        <v>--</v>
      </c>
      <c r="G76" s="356">
        <f>IF(ISERROR(VLOOKUP(School_Code&amp;"All students",School_Data,88,FALSE)),"",(VLOOKUP(School_Code&amp;"All students",School_Data,88,FALSE)))</f>
        <v>16.5</v>
      </c>
      <c r="H76" s="356" t="str">
        <f>IF(ISERROR(VLOOKUP(School_Code&amp;"All students",School_Data,89,FALSE)),"",(VLOOKUP(School_Code&amp;"All students",School_Data,89,FALSE)))</f>
        <v>TBD</v>
      </c>
      <c r="I76" s="356" t="str">
        <f>IF(ISERROR(VLOOKUP(School_Code&amp;"All students",School_Data,90,FALSE)),"",(VLOOKUP(School_Code&amp;"All students",School_Data,90,FALSE)))</f>
        <v>TBD</v>
      </c>
      <c r="J76" s="356" t="str">
        <f>IF(ISERROR(VLOOKUP(School_Code&amp;"All students",School_Data,91,FALSE)),"",(VLOOKUP(School_Code&amp;"All students",School_Data,91,FALSE)))</f>
        <v>TBD</v>
      </c>
      <c r="K76" s="366" t="str">
        <f>IF(ISERROR(VLOOKUP(School_Code&amp;"All students",School_Data,92,FALSE)),"",(VLOOKUP(School_Code&amp;"All students",School_Data,92,FALSE)))</f>
        <v>TBD</v>
      </c>
      <c r="L76" s="368" t="s">
        <v>319</v>
      </c>
    </row>
    <row r="77" spans="2:12" s="3" customFormat="1" ht="25.5" hidden="1">
      <c r="B77" s="98" t="s">
        <v>39</v>
      </c>
      <c r="C77" s="363"/>
      <c r="D77" s="357"/>
      <c r="E77" s="365"/>
      <c r="F77" s="357"/>
      <c r="G77" s="357"/>
      <c r="H77" s="357"/>
      <c r="I77" s="357"/>
      <c r="J77" s="357"/>
      <c r="K77" s="367"/>
      <c r="L77" s="361"/>
    </row>
    <row r="78" spans="2:12" s="3" customFormat="1" ht="15" customHeight="1">
      <c r="B78" s="99" t="s">
        <v>16</v>
      </c>
      <c r="C78" s="82" t="str">
        <f>IF(ISERROR(VLOOKUP(School_Code&amp;"High needs",School_Data,84,FALSE)),"",(VLOOKUP(School_Code&amp;"High needs",School_Data,84,FALSE)))</f>
        <v>--</v>
      </c>
      <c r="D78" s="103" t="str">
        <f>IF(ISERROR(VLOOKUP(School_Code&amp;"High needs",School_Data,85,FALSE)),"",(VLOOKUP(School_Code&amp;"High needs",School_Data,85,FALSE)))</f>
        <v>--</v>
      </c>
      <c r="E78" s="83" t="str">
        <f>IF(ISERROR(VLOOKUP(School_Code&amp;"High needs",School_Data,86,FALSE)),"",(VLOOKUP(School_Code&amp;"High needs",School_Data,86,FALSE)))</f>
        <v>--</v>
      </c>
      <c r="F78" s="103" t="str">
        <f>IF(ISERROR(VLOOKUP(School_Code&amp;"High needs",School_Data,87,FALSE)),"",(VLOOKUP(School_Code&amp;"High needs",School_Data,87,FALSE)))</f>
        <v>--</v>
      </c>
      <c r="G78" s="103">
        <f>IF(ISERROR(VLOOKUP(School_Code&amp;"High needs",School_Data,88,FALSE)),"",(VLOOKUP(School_Code&amp;"High needs",School_Data,88,FALSE)))</f>
        <v>17</v>
      </c>
      <c r="H78" s="103" t="str">
        <f>IF(ISERROR(VLOOKUP(School_Code&amp;"High needs",School_Data,89,FALSE)),"",(VLOOKUP(School_Code&amp;"High needs",School_Data,89,FALSE)))</f>
        <v>TBD</v>
      </c>
      <c r="I78" s="103" t="str">
        <f>IF(ISERROR(VLOOKUP(School_Code&amp;"High needs",School_Data,90,FALSE)),"",(VLOOKUP(School_Code&amp;"High needs",School_Data,90,FALSE)))</f>
        <v>TBD</v>
      </c>
      <c r="J78" s="103" t="str">
        <f>IF(ISERROR(VLOOKUP(School_Code&amp;"High needs",School_Data,91,FALSE)),"",(VLOOKUP(School_Code&amp;"High needs",School_Data,91,FALSE)))</f>
        <v>TBD</v>
      </c>
      <c r="K78" s="104" t="str">
        <f>IF(ISERROR(VLOOKUP(School_Code&amp;"High needs",School_Data,92,FALSE)),"",(VLOOKUP(School_Code&amp;"High needs",School_Data,92,FALSE)))</f>
        <v>TBD</v>
      </c>
      <c r="L78" s="361"/>
    </row>
    <row r="79" spans="2:12" s="3" customFormat="1" ht="15" customHeight="1">
      <c r="B79" s="99" t="s">
        <v>13</v>
      </c>
      <c r="C79" s="82" t="str">
        <f>IF(ISERROR(VLOOKUP(School_Code&amp;"Low income",School_Data,84,FALSE)),"",(VLOOKUP(School_Code&amp;"Low income",School_Data,84,FALSE)))</f>
        <v>--</v>
      </c>
      <c r="D79" s="103" t="str">
        <f>IF(ISERROR(VLOOKUP(School_Code&amp;"Low income",School_Data,85,FALSE)),"",(VLOOKUP(School_Code&amp;"Low income",School_Data,85,FALSE)))</f>
        <v>--</v>
      </c>
      <c r="E79" s="83" t="str">
        <f>IF(ISERROR(VLOOKUP(School_Code&amp;"Low income",School_Data,86,FALSE)),"",(VLOOKUP(School_Code&amp;"Low income",School_Data,86,FALSE)))</f>
        <v>--</v>
      </c>
      <c r="F79" s="103" t="str">
        <f>IF(ISERROR(VLOOKUP(School_Code&amp;"Low income",School_Data,87,FALSE)),"",(VLOOKUP(School_Code&amp;"Low income",School_Data,87,FALSE)))</f>
        <v>--</v>
      </c>
      <c r="G79" s="103">
        <f>IF(ISERROR(VLOOKUP(School_Code&amp;"Low income",School_Data,88,FALSE)),"",(VLOOKUP(School_Code&amp;"Low income",School_Data,88,FALSE)))</f>
        <v>17.8</v>
      </c>
      <c r="H79" s="103" t="str">
        <f>IF(ISERROR(VLOOKUP(School_Code&amp;"Low income",School_Data,89,FALSE)),"",(VLOOKUP(School_Code&amp;"Low income",School_Data,89,FALSE)))</f>
        <v>TBD</v>
      </c>
      <c r="I79" s="103" t="str">
        <f>IF(ISERROR(VLOOKUP(School_Code&amp;"Low income",School_Data,90,FALSE)),"",(VLOOKUP(School_Code&amp;"Low income",School_Data,90,FALSE)))</f>
        <v>TBD</v>
      </c>
      <c r="J79" s="103" t="str">
        <f>IF(ISERROR(VLOOKUP(School_Code&amp;"Low income",School_Data,91,FALSE)),"",(VLOOKUP(School_Code&amp;"Low income",School_Data,91,FALSE)))</f>
        <v>TBD</v>
      </c>
      <c r="K79" s="104" t="str">
        <f>IF(ISERROR(VLOOKUP(School_Code&amp;"Low income",School_Data,92,FALSE)),"",(VLOOKUP(School_Code&amp;"Low income",School_Data,92,FALSE)))</f>
        <v>TBD</v>
      </c>
      <c r="L79" s="361"/>
    </row>
    <row r="80" spans="2:12" s="3" customFormat="1" ht="15" customHeight="1">
      <c r="B80" s="99" t="s">
        <v>15</v>
      </c>
      <c r="C80" s="82" t="str">
        <f>IF(ISERROR(VLOOKUP(School_Code&amp;"ELL and Former ELL",School_Data,84,FALSE)),"",(VLOOKUP(School_Code&amp;"ELL and Former ELL",School_Data,84,FALSE)))</f>
        <v>--</v>
      </c>
      <c r="D80" s="103" t="str">
        <f>IF(ISERROR(VLOOKUP(School_Code&amp;"ELL and Former ELL",School_Data,85,FALSE)),"",(VLOOKUP(School_Code&amp;"ELL and Former ELL",School_Data,85,FALSE)))</f>
        <v>--</v>
      </c>
      <c r="E80" s="83" t="str">
        <f>IF(ISERROR(VLOOKUP(School_Code&amp;"ELL and Former ELL",School_Data,86,FALSE)),"",(VLOOKUP(School_Code&amp;"ELL and Former ELL",School_Data,86,FALSE)))</f>
        <v>--</v>
      </c>
      <c r="F80" s="103" t="str">
        <f>IF(ISERROR(VLOOKUP(School_Code&amp;"ELL and Former ELL",School_Data,87,FALSE)),"",(VLOOKUP(School_Code&amp;"ELL and Former ELL",School_Data,87,FALSE)))</f>
        <v>--</v>
      </c>
      <c r="G80" s="103" t="str">
        <f>IF(ISERROR(VLOOKUP(School_Code&amp;"ELL and Former ELL",School_Data,88,FALSE)),"",(VLOOKUP(School_Code&amp;"ELL and Former ELL",School_Data,88,FALSE)))</f>
        <v>--</v>
      </c>
      <c r="H80" s="103" t="str">
        <f>IF(ISERROR(VLOOKUP(School_Code&amp;"ELL and Former ELL",School_Data,89,FALSE)),"",(VLOOKUP(School_Code&amp;"ELL and Former ELL",School_Data,89,FALSE)))</f>
        <v>--</v>
      </c>
      <c r="I80" s="103" t="str">
        <f>IF(ISERROR(VLOOKUP(School_Code&amp;"ELL and Former ELL",School_Data,90,FALSE)),"",(VLOOKUP(School_Code&amp;"ELL and Former ELL",School_Data,90,FALSE)))</f>
        <v>--</v>
      </c>
      <c r="J80" s="103" t="str">
        <f>IF(ISERROR(VLOOKUP(School_Code&amp;"ELL and Former ELL",School_Data,91,FALSE)),"",(VLOOKUP(School_Code&amp;"ELL and Former ELL",School_Data,91,FALSE)))</f>
        <v>--</v>
      </c>
      <c r="K80" s="104" t="str">
        <f>IF(ISERROR(VLOOKUP(School_Code&amp;"ELL and Former ELL",School_Data,92,FALSE)),"",(VLOOKUP(School_Code&amp;"ELL and Former ELL",School_Data,92,FALSE)))</f>
        <v>--</v>
      </c>
      <c r="L80" s="361"/>
    </row>
    <row r="81" spans="2:12" s="3" customFormat="1" ht="15" customHeight="1">
      <c r="B81" s="99" t="s">
        <v>12</v>
      </c>
      <c r="C81" s="82" t="str">
        <f>IF(ISERROR(VLOOKUP(School_Code&amp;"Students w/disabilities",School_Data,84,FALSE)),"",(VLOOKUP(School_Code&amp;"Students w/disabilities",School_Data,84,FALSE)))</f>
        <v>--</v>
      </c>
      <c r="D81" s="103" t="str">
        <f>IF(ISERROR(VLOOKUP(School_Code&amp;"Students w/disabilities",School_Data,85,FALSE)),"",(VLOOKUP(School_Code&amp;"Students w/disabilities",School_Data,85,FALSE)))</f>
        <v>--</v>
      </c>
      <c r="E81" s="83" t="str">
        <f>IF(ISERROR(VLOOKUP(School_Code&amp;"Students w/disabilities",School_Data,86,FALSE)),"",(VLOOKUP(School_Code&amp;"Students w/disabilities",School_Data,86,FALSE)))</f>
        <v>--</v>
      </c>
      <c r="F81" s="103" t="str">
        <f>IF(ISERROR(VLOOKUP(School_Code&amp;"Students w/disabilities",School_Data,87,FALSE)),"",(VLOOKUP(School_Code&amp;"Students w/disabilities",School_Data,87,FALSE)))</f>
        <v>--</v>
      </c>
      <c r="G81" s="103">
        <f>IF(ISERROR(VLOOKUP(School_Code&amp;"Students w/disabilities",School_Data,88,FALSE)),"",(VLOOKUP(School_Code&amp;"Students w/disabilities",School_Data,88,FALSE)))</f>
        <v>44.8</v>
      </c>
      <c r="H81" s="103" t="str">
        <f>IF(ISERROR(VLOOKUP(School_Code&amp;"Students w/disabilities",School_Data,89,FALSE)),"",(VLOOKUP(School_Code&amp;"Students w/disabilities",School_Data,89,FALSE)))</f>
        <v>TBD</v>
      </c>
      <c r="I81" s="103" t="str">
        <f>IF(ISERROR(VLOOKUP(School_Code&amp;"Students w/disabilities",School_Data,90,FALSE)),"",(VLOOKUP(School_Code&amp;"Students w/disabilities",School_Data,90,FALSE)))</f>
        <v>TBD</v>
      </c>
      <c r="J81" s="103" t="str">
        <f>IF(ISERROR(VLOOKUP(School_Code&amp;"Students w/disabilities",School_Data,91,FALSE)),"",(VLOOKUP(School_Code&amp;"Students w/disabilities",School_Data,91,FALSE)))</f>
        <v>TBD</v>
      </c>
      <c r="K81" s="104" t="str">
        <f>IF(ISERROR(VLOOKUP(School_Code&amp;"Students w/disabilities",School_Data,92,FALSE)),"",(VLOOKUP(School_Code&amp;"Students w/disabilities",School_Data,92,FALSE)))</f>
        <v>TBD</v>
      </c>
      <c r="L81" s="361"/>
    </row>
    <row r="82" spans="2:12" s="3" customFormat="1" ht="15" customHeight="1">
      <c r="B82" s="99" t="s">
        <v>44</v>
      </c>
      <c r="C82" s="82" t="str">
        <f>IF(ISERROR(VLOOKUP(School_Code&amp;"Amer. Ind. or Alaska Nat.",School_Data,84,FALSE)),"",(VLOOKUP(School_Code&amp;"Amer. Ind. or Alaska Nat.",School_Data,84,FALSE)))</f>
        <v>--</v>
      </c>
      <c r="D82" s="103" t="str">
        <f>IF(ISERROR(VLOOKUP(School_Code&amp;"Amer. Ind. or Alaska Nat.",School_Data,85,FALSE)),"",(VLOOKUP(School_Code&amp;"Amer. Ind. or Alaska Nat.",School_Data,85,FALSE)))</f>
        <v>--</v>
      </c>
      <c r="E82" s="83" t="str">
        <f>IF(ISERROR(VLOOKUP(School_Code&amp;"Amer. Ind. or Alaska Nat.",School_Data,86,FALSE)),"",(VLOOKUP(School_Code&amp;"Amer. Ind. or Alaska Nat.",School_Data,86,FALSE)))</f>
        <v>--</v>
      </c>
      <c r="F82" s="103" t="str">
        <f>IF(ISERROR(VLOOKUP(School_Code&amp;"Amer. Ind. or Alaska Nat.",School_Data,87,FALSE)),"",(VLOOKUP(School_Code&amp;"Amer. Ind. or Alaska Nat.",School_Data,87,FALSE)))</f>
        <v>--</v>
      </c>
      <c r="G82" s="103" t="str">
        <f>IF(ISERROR(VLOOKUP(School_Code&amp;"Amer. Ind. or Alaska Nat.",School_Data,88,FALSE)),"",(VLOOKUP(School_Code&amp;"Amer. Ind. or Alaska Nat.",School_Data,88,FALSE)))</f>
        <v>--</v>
      </c>
      <c r="H82" s="103" t="str">
        <f>IF(ISERROR(VLOOKUP(School_Code&amp;"Amer. Ind. or Alaska Nat.",School_Data,89,FALSE)),"",(VLOOKUP(School_Code&amp;"Amer. Ind. or Alaska Nat.",School_Data,89,FALSE)))</f>
        <v>--</v>
      </c>
      <c r="I82" s="103" t="str">
        <f>IF(ISERROR(VLOOKUP(School_Code&amp;"Amer. Ind. or Alaska Nat.",School_Data,90,FALSE)),"",(VLOOKUP(School_Code&amp;"Amer. Ind. or Alaska Nat.",School_Data,90,FALSE)))</f>
        <v>--</v>
      </c>
      <c r="J82" s="103" t="str">
        <f>IF(ISERROR(VLOOKUP(School_Code&amp;"Amer. Ind. or Alaska Nat.",School_Data,91,FALSE)),"",(VLOOKUP(School_Code&amp;"Amer. Ind. or Alaska Nat.",School_Data,91,FALSE)))</f>
        <v>--</v>
      </c>
      <c r="K82" s="104" t="str">
        <f>IF(ISERROR(VLOOKUP(School_Code&amp;"Amer. Ind. or Alaska Nat.",School_Data,92,FALSE)),"",(VLOOKUP(School_Code&amp;"Amer. Ind. or Alaska Nat.",School_Data,92,FALSE)))</f>
        <v>--</v>
      </c>
      <c r="L82" s="361"/>
    </row>
    <row r="83" spans="2:12" s="3" customFormat="1" ht="15" customHeight="1">
      <c r="B83" s="99" t="s">
        <v>45</v>
      </c>
      <c r="C83" s="82" t="str">
        <f>IF(ISERROR(VLOOKUP(School_Code&amp;"Asian",School_Data,84,FALSE)),"",(VLOOKUP(School_Code&amp;"Asian",School_Data,84,FALSE)))</f>
        <v>--</v>
      </c>
      <c r="D83" s="103" t="str">
        <f>IF(ISERROR(VLOOKUP(School_Code&amp;"Asian",School_Data,85,FALSE)),"",(VLOOKUP(School_Code&amp;"Asian",School_Data,85,FALSE)))</f>
        <v>--</v>
      </c>
      <c r="E83" s="83" t="str">
        <f>IF(ISERROR(VLOOKUP(School_Code&amp;"Asian",School_Data,86,FALSE)),"",(VLOOKUP(School_Code&amp;"Asian",School_Data,86,FALSE)))</f>
        <v>--</v>
      </c>
      <c r="F83" s="103" t="str">
        <f>IF(ISERROR(VLOOKUP(School_Code&amp;"Asian",School_Data,87,FALSE)),"",(VLOOKUP(School_Code&amp;"Asian",School_Data,87,FALSE)))</f>
        <v>--</v>
      </c>
      <c r="G83" s="103" t="str">
        <f>IF(ISERROR(VLOOKUP(School_Code&amp;"Asian",School_Data,88,FALSE)),"",(VLOOKUP(School_Code&amp;"Asian",School_Data,88,FALSE)))</f>
        <v>--</v>
      </c>
      <c r="H83" s="103" t="str">
        <f>IF(ISERROR(VLOOKUP(School_Code&amp;"Asian",School_Data,89,FALSE)),"",(VLOOKUP(School_Code&amp;"Asian",School_Data,89,FALSE)))</f>
        <v>--</v>
      </c>
      <c r="I83" s="103" t="str">
        <f>IF(ISERROR(VLOOKUP(School_Code&amp;"Asian",School_Data,90,FALSE)),"",(VLOOKUP(School_Code&amp;"Asian",School_Data,90,FALSE)))</f>
        <v>--</v>
      </c>
      <c r="J83" s="103" t="str">
        <f>IF(ISERROR(VLOOKUP(School_Code&amp;"Asian",School_Data,91,FALSE)),"",(VLOOKUP(School_Code&amp;"Asian",School_Data,91,FALSE)))</f>
        <v>--</v>
      </c>
      <c r="K83" s="104" t="str">
        <f>IF(ISERROR(VLOOKUP(School_Code&amp;"Asian",School_Data,92,FALSE)),"",(VLOOKUP(School_Code&amp;"Asian",School_Data,92,FALSE)))</f>
        <v>--</v>
      </c>
      <c r="L83" s="361"/>
    </row>
    <row r="84" spans="2:12" s="3" customFormat="1" ht="15" customHeight="1">
      <c r="B84" s="99" t="s">
        <v>11</v>
      </c>
      <c r="C84" s="82" t="str">
        <f>IF(ISERROR(VLOOKUP(School_Code&amp;"Afr. Amer/Black",School_Data,84,FALSE)),"",(VLOOKUP(School_Code&amp;"Afr. Amer/Black",School_Data,84,FALSE)))</f>
        <v>--</v>
      </c>
      <c r="D84" s="103" t="str">
        <f>IF(ISERROR(VLOOKUP(School_Code&amp;"Afr. Amer/Black",School_Data,85,FALSE)),"",(VLOOKUP(School_Code&amp;"Afr. Amer/Black",School_Data,85,FALSE)))</f>
        <v>--</v>
      </c>
      <c r="E84" s="83" t="str">
        <f>IF(ISERROR(VLOOKUP(School_Code&amp;"Afr. Amer/Black",School_Data,86,FALSE)),"",(VLOOKUP(School_Code&amp;"Afr. Amer/Black",School_Data,86,FALSE)))</f>
        <v>--</v>
      </c>
      <c r="F84" s="103" t="str">
        <f>IF(ISERROR(VLOOKUP(School_Code&amp;"Afr. Amer/Black",School_Data,87,FALSE)),"",(VLOOKUP(School_Code&amp;"Afr. Amer/Black",School_Data,87,FALSE)))</f>
        <v>--</v>
      </c>
      <c r="G84" s="103">
        <f>IF(ISERROR(VLOOKUP(School_Code&amp;"Afr. Amer/Black",School_Data,88,FALSE)),"",(VLOOKUP(School_Code&amp;"Afr. Amer/Black",School_Data,88,FALSE)))</f>
        <v>0</v>
      </c>
      <c r="H84" s="103" t="str">
        <f>IF(ISERROR(VLOOKUP(School_Code&amp;"Afr. Amer/Black",School_Data,89,FALSE)),"",(VLOOKUP(School_Code&amp;"Afr. Amer/Black",School_Data,89,FALSE)))</f>
        <v>TBD</v>
      </c>
      <c r="I84" s="103" t="str">
        <f>IF(ISERROR(VLOOKUP(School_Code&amp;"Afr. Amer/Black",School_Data,90,FALSE)),"",(VLOOKUP(School_Code&amp;"Afr. Amer/Black",School_Data,90,FALSE)))</f>
        <v>TBD</v>
      </c>
      <c r="J84" s="103" t="str">
        <f>IF(ISERROR(VLOOKUP(School_Code&amp;"Afr. Amer/Black",School_Data,91,FALSE)),"",(VLOOKUP(School_Code&amp;"Afr. Amer/Black",School_Data,91,FALSE)))</f>
        <v>TBD</v>
      </c>
      <c r="K84" s="104" t="str">
        <f>IF(ISERROR(VLOOKUP(School_Code&amp;"Afr. Amer/Black",School_Data,92,FALSE)),"",(VLOOKUP(School_Code&amp;"Afr. Amer/Black",School_Data,92,FALSE)))</f>
        <v>TBD</v>
      </c>
      <c r="L84" s="361"/>
    </row>
    <row r="85" spans="2:12" s="3" customFormat="1" ht="15" customHeight="1">
      <c r="B85" s="99" t="s">
        <v>14</v>
      </c>
      <c r="C85" s="82" t="str">
        <f>IF(ISERROR(VLOOKUP(School_Code&amp;"Hispanic/Latino",School_Data,84,FALSE)),"",(VLOOKUP(School_Code&amp;"Hispanic/Latino",School_Data,84,FALSE)))</f>
        <v>--</v>
      </c>
      <c r="D85" s="103" t="str">
        <f>IF(ISERROR(VLOOKUP(School_Code&amp;"Hispanic/Latino",School_Data,85,FALSE)),"",(VLOOKUP(School_Code&amp;"Hispanic/Latino",School_Data,85,FALSE)))</f>
        <v>--</v>
      </c>
      <c r="E85" s="83" t="str">
        <f>IF(ISERROR(VLOOKUP(School_Code&amp;"Hispanic/Latino",School_Data,86,FALSE)),"",(VLOOKUP(School_Code&amp;"Hispanic/Latino",School_Data,86,FALSE)))</f>
        <v>--</v>
      </c>
      <c r="F85" s="103" t="str">
        <f>IF(ISERROR(VLOOKUP(School_Code&amp;"Hispanic/Latino",School_Data,87,FALSE)),"",(VLOOKUP(School_Code&amp;"Hispanic/Latino",School_Data,87,FALSE)))</f>
        <v>--</v>
      </c>
      <c r="G85" s="103">
        <f>IF(ISERROR(VLOOKUP(School_Code&amp;"Hispanic/Latino",School_Data,88,FALSE)),"",(VLOOKUP(School_Code&amp;"Hispanic/Latino",School_Data,88,FALSE)))</f>
        <v>30.3</v>
      </c>
      <c r="H85" s="103" t="str">
        <f>IF(ISERROR(VLOOKUP(School_Code&amp;"Hispanic/Latino",School_Data,89,FALSE)),"",(VLOOKUP(School_Code&amp;"Hispanic/Latino",School_Data,89,FALSE)))</f>
        <v>TBD</v>
      </c>
      <c r="I85" s="103" t="str">
        <f>IF(ISERROR(VLOOKUP(School_Code&amp;"Hispanic/Latino",School_Data,90,FALSE)),"",(VLOOKUP(School_Code&amp;"Hispanic/Latino",School_Data,90,FALSE)))</f>
        <v>TBD</v>
      </c>
      <c r="J85" s="103" t="str">
        <f>IF(ISERROR(VLOOKUP(School_Code&amp;"Hispanic/Latino",School_Data,91,FALSE)),"",(VLOOKUP(School_Code&amp;"Hispanic/Latino",School_Data,91,FALSE)))</f>
        <v>TBD</v>
      </c>
      <c r="K85" s="104" t="str">
        <f>IF(ISERROR(VLOOKUP(School_Code&amp;"Hispanic/Latino",School_Data,92,FALSE)),"",(VLOOKUP(School_Code&amp;"Hispanic/Latino",School_Data,92,FALSE)))</f>
        <v>TBD</v>
      </c>
      <c r="L85" s="361"/>
    </row>
    <row r="86" spans="2:12" s="3" customFormat="1" ht="15" customHeight="1">
      <c r="B86" s="99" t="s">
        <v>46</v>
      </c>
      <c r="C86" s="82" t="str">
        <f>IF(ISERROR(VLOOKUP(School_Code&amp;"Multi-race, Non-Hisp./Lat.",School_Data,84,FALSE)),"",(VLOOKUP(School_Code&amp;"Multi-race, Non-Hisp./Lat.",School_Data,84,FALSE)))</f>
        <v>--</v>
      </c>
      <c r="D86" s="103" t="str">
        <f>IF(ISERROR(VLOOKUP(School_Code&amp;"Multi-race, Non-Hisp./Lat.",School_Data,85,FALSE)),"",(VLOOKUP(School_Code&amp;"Multi-race, Non-Hisp./Lat.",School_Data,85,FALSE)))</f>
        <v>--</v>
      </c>
      <c r="E86" s="83" t="str">
        <f>IF(ISERROR(VLOOKUP(School_Code&amp;"Multi-race, Non-Hisp./Lat.",School_Data,86,FALSE)),"",(VLOOKUP(School_Code&amp;"Multi-race, Non-Hisp./Lat.",School_Data,86,FALSE)))</f>
        <v>--</v>
      </c>
      <c r="F86" s="103" t="str">
        <f>IF(ISERROR(VLOOKUP(School_Code&amp;"Multi-race, Non-Hisp./Lat.",School_Data,87,FALSE)),"",(VLOOKUP(School_Code&amp;"Multi-race, Non-Hisp./Lat.",School_Data,87,FALSE)))</f>
        <v>--</v>
      </c>
      <c r="G86" s="103" t="str">
        <f>IF(ISERROR(VLOOKUP(School_Code&amp;"Multi-race, Non-Hisp./Lat.",School_Data,88,FALSE)),"",(VLOOKUP(School_Code&amp;"Multi-race, Non-Hisp./Lat.",School_Data,88,FALSE)))</f>
        <v>--</v>
      </c>
      <c r="H86" s="103" t="str">
        <f>IF(ISERROR(VLOOKUP(School_Code&amp;"Multi-race, Non-Hisp./Lat.",School_Data,89,FALSE)),"",(VLOOKUP(School_Code&amp;"Multi-race, Non-Hisp./Lat.",School_Data,89,FALSE)))</f>
        <v>--</v>
      </c>
      <c r="I86" s="103" t="str">
        <f>IF(ISERROR(VLOOKUP(School_Code&amp;"Multi-race, Non-Hisp./Lat.",School_Data,90,FALSE)),"",(VLOOKUP(School_Code&amp;"Multi-race, Non-Hisp./Lat.",School_Data,90,FALSE)))</f>
        <v>--</v>
      </c>
      <c r="J86" s="103" t="str">
        <f>IF(ISERROR(VLOOKUP(School_Code&amp;"Multi-race, Non-Hisp./Lat.",School_Data,91,FALSE)),"",(VLOOKUP(School_Code&amp;"Multi-race, Non-Hisp./Lat.",School_Data,91,FALSE)))</f>
        <v>--</v>
      </c>
      <c r="K86" s="104" t="str">
        <f>IF(ISERROR(VLOOKUP(School_Code&amp;"Multi-race, Non-Hisp./Lat.",School_Data,92,FALSE)),"",(VLOOKUP(School_Code&amp;"Multi-race, Non-Hisp./Lat.",School_Data,92,FALSE)))</f>
        <v>--</v>
      </c>
      <c r="L86" s="361"/>
    </row>
    <row r="87" spans="2:12" s="3" customFormat="1" ht="15" customHeight="1">
      <c r="B87" s="99" t="s">
        <v>47</v>
      </c>
      <c r="C87" s="82" t="str">
        <f>IF(ISERROR(VLOOKUP(School_Code&amp;"Nat. Haw. or Pacif. Isl.",School_Data,84,FALSE)),"",(VLOOKUP(School_Code&amp;"Nat. Haw. or Pacif. Isl.",School_Data,84,FALSE)))</f>
        <v>--</v>
      </c>
      <c r="D87" s="103" t="str">
        <f>IF(ISERROR(VLOOKUP(School_Code&amp;"Nat. Haw. or Pacif. Isl.",School_Data,85,FALSE)),"",(VLOOKUP(School_Code&amp;"Nat. Haw. or Pacif. Isl.",School_Data,85,FALSE)))</f>
        <v>--</v>
      </c>
      <c r="E87" s="83" t="str">
        <f>IF(ISERROR(VLOOKUP(School_Code&amp;"Nat. Haw. or Pacif. Isl.",School_Data,86,FALSE)),"",(VLOOKUP(School_Code&amp;"Nat. Haw. or Pacif. Isl.",School_Data,86,FALSE)))</f>
        <v>--</v>
      </c>
      <c r="F87" s="103" t="str">
        <f>IF(ISERROR(VLOOKUP(School_Code&amp;"Nat. Haw. or Pacif. Isl.",School_Data,87,FALSE)),"",(VLOOKUP(School_Code&amp;"Nat. Haw. or Pacif. Isl.",School_Data,87,FALSE)))</f>
        <v>--</v>
      </c>
      <c r="G87" s="103" t="str">
        <f>IF(ISERROR(VLOOKUP(School_Code&amp;"Nat. Haw. or Pacif. Isl.",School_Data,88,FALSE)),"",(VLOOKUP(School_Code&amp;"Nat. Haw. or Pacif. Isl.",School_Data,88,FALSE)))</f>
        <v>--</v>
      </c>
      <c r="H87" s="103" t="str">
        <f>IF(ISERROR(VLOOKUP(School_Code&amp;"Nat. Haw. or Pacif. Isl.",School_Data,89,FALSE)),"",(VLOOKUP(School_Code&amp;"Nat. Haw. or Pacif. Isl.",School_Data,89,FALSE)))</f>
        <v>--</v>
      </c>
      <c r="I87" s="103" t="str">
        <f>IF(ISERROR(VLOOKUP(School_Code&amp;"Nat. Haw. or Pacif. Isl.",School_Data,90,FALSE)),"",(VLOOKUP(School_Code&amp;"Nat. Haw. or Pacif. Isl.",School_Data,90,FALSE)))</f>
        <v>--</v>
      </c>
      <c r="J87" s="103" t="str">
        <f>IF(ISERROR(VLOOKUP(School_Code&amp;"Nat. Haw. or Pacif. Isl.",School_Data,91,FALSE)),"",(VLOOKUP(School_Code&amp;"Nat. Haw. or Pacif. Isl.",School_Data,91,FALSE)))</f>
        <v>--</v>
      </c>
      <c r="K87" s="104" t="str">
        <f>IF(ISERROR(VLOOKUP(School_Code&amp;"Nat. Haw. or Pacif. Isl.",School_Data,92,FALSE)),"",(VLOOKUP(School_Code&amp;"Nat. Haw. or Pacif. Isl.",School_Data,92,FALSE)))</f>
        <v>--</v>
      </c>
      <c r="L87" s="361"/>
    </row>
    <row r="88" spans="2:12" s="3" customFormat="1" ht="15" customHeight="1">
      <c r="B88" s="110" t="s">
        <v>17</v>
      </c>
      <c r="C88" s="105" t="str">
        <f>IF(ISERROR(VLOOKUP(School_Code&amp;"White",School_Data,84,FALSE)),"",(VLOOKUP(School_Code&amp;"White",School_Data,84,FALSE)))</f>
        <v>--</v>
      </c>
      <c r="D88" s="106" t="str">
        <f>IF(ISERROR(VLOOKUP(School_Code&amp;"White",School_Data,85,FALSE)),"",(VLOOKUP(School_Code&amp;"White",School_Data,85,FALSE)))</f>
        <v>--</v>
      </c>
      <c r="E88" s="107" t="str">
        <f>IF(ISERROR(VLOOKUP(School_Code&amp;"White",School_Data,86,FALSE)),"",(VLOOKUP(School_Code&amp;"White",School_Data,86,FALSE)))</f>
        <v>--</v>
      </c>
      <c r="F88" s="106" t="str">
        <f>IF(ISERROR(VLOOKUP(School_Code&amp;"White",School_Data,87,FALSE)),"",(VLOOKUP(School_Code&amp;"White",School_Data,87,FALSE)))</f>
        <v>--</v>
      </c>
      <c r="G88" s="106">
        <f>IF(ISERROR(VLOOKUP(School_Code&amp;"White",School_Data,88,FALSE)),"",(VLOOKUP(School_Code&amp;"White",School_Data,88,FALSE)))</f>
        <v>16.3</v>
      </c>
      <c r="H88" s="106" t="str">
        <f>IF(ISERROR(VLOOKUP(School_Code&amp;"White",School_Data,89,FALSE)),"",(VLOOKUP(School_Code&amp;"White",School_Data,89,FALSE)))</f>
        <v>TBD</v>
      </c>
      <c r="I88" s="106" t="str">
        <f>IF(ISERROR(VLOOKUP(School_Code&amp;"White",School_Data,90,FALSE)),"",(VLOOKUP(School_Code&amp;"White",School_Data,90,FALSE)))</f>
        <v>TBD</v>
      </c>
      <c r="J88" s="106" t="str">
        <f>IF(ISERROR(VLOOKUP(School_Code&amp;"White",School_Data,91,FALSE)),"",(VLOOKUP(School_Code&amp;"White",School_Data,91,FALSE)))</f>
        <v>TBD</v>
      </c>
      <c r="K88" s="108" t="str">
        <f>IF(ISERROR(VLOOKUP(School_Code&amp;"White",School_Data,92,FALSE)),"",(VLOOKUP(School_Code&amp;"White",School_Data,92,FALSE)))</f>
        <v>TBD</v>
      </c>
      <c r="L88" s="361"/>
    </row>
    <row r="89" spans="2:12" s="3" customFormat="1" ht="38.25">
      <c r="B89" s="144" t="s">
        <v>351</v>
      </c>
      <c r="C89" s="299" t="str">
        <f>IF(ISERROR(VLOOKUP(School_Code&amp;"All students",School_Data,93,FALSE)),"",(VLOOKUP(School_Code&amp;"All students",School_Data,93,FALSE)))</f>
        <v>--</v>
      </c>
      <c r="D89" s="356" t="str">
        <f>IF(ISERROR(VLOOKUP(School_Code&amp;"All students",School_Data,94,FALSE)),"",(VLOOKUP(School_Code&amp;"All students",School_Data,94,FALSE)))</f>
        <v>--</v>
      </c>
      <c r="E89" s="364" t="str">
        <f>IF(ISERROR(VLOOKUP(School_Code&amp;"All students",School_Data,95,FALSE)),"",(VLOOKUP(School_Code&amp;"All students",School_Data,95,FALSE)))</f>
        <v>--</v>
      </c>
      <c r="F89" s="356" t="str">
        <f>IF(ISERROR(VLOOKUP(School_Code&amp;"All students",School_Data,96,FALSE)),"",(VLOOKUP(School_Code&amp;"All students",School_Data,96,FALSE)))</f>
        <v>--</v>
      </c>
      <c r="G89" s="356">
        <f>IF(ISERROR(VLOOKUP(School_Code&amp;"All students",School_Data,97,FALSE)),"",(VLOOKUP(School_Code&amp;"All students",School_Data,97,FALSE)))</f>
        <v>11.4</v>
      </c>
      <c r="H89" s="356" t="str">
        <f>IF(ISERROR(VLOOKUP(School_Code&amp;"All students",School_Data,98,FALSE)),"",(VLOOKUP(School_Code&amp;"All students",School_Data,98,FALSE)))</f>
        <v>TBD</v>
      </c>
      <c r="I89" s="356" t="str">
        <f>IF(ISERROR(VLOOKUP(School_Code&amp;"All students",School_Data,99,FALSE)),"",(VLOOKUP(School_Code&amp;"All students",School_Data,99,FALSE)))</f>
        <v>TBD</v>
      </c>
      <c r="J89" s="356" t="str">
        <f>IF(ISERROR(VLOOKUP(School_Code&amp;"All students",School_Data,100,FALSE)),"",(VLOOKUP(School_Code&amp;"All students",School_Data,100,FALSE)))</f>
        <v>TBD</v>
      </c>
      <c r="K89" s="366" t="str">
        <f>IF(ISERROR(VLOOKUP(School_Code&amp;"All students",School_Data,101,FALSE)),"",(VLOOKUP(School_Code&amp;"All students",School_Data,101,FALSE)))</f>
        <v>TBD</v>
      </c>
      <c r="L89" s="368" t="s">
        <v>319</v>
      </c>
    </row>
    <row r="90" spans="2:12" s="3" customFormat="1" ht="25.5" hidden="1">
      <c r="B90" s="98" t="s">
        <v>39</v>
      </c>
      <c r="C90" s="363"/>
      <c r="D90" s="357"/>
      <c r="E90" s="365"/>
      <c r="F90" s="357"/>
      <c r="G90" s="357"/>
      <c r="H90" s="357"/>
      <c r="I90" s="357"/>
      <c r="J90" s="357"/>
      <c r="K90" s="367"/>
      <c r="L90" s="361"/>
    </row>
    <row r="91" spans="2:12" s="3" customFormat="1" ht="15" customHeight="1">
      <c r="B91" s="99" t="s">
        <v>16</v>
      </c>
      <c r="C91" s="82" t="str">
        <f>IF(ISERROR(VLOOKUP(School_Code&amp;"High needs",School_Data,93,FALSE)),"",(VLOOKUP(School_Code&amp;"High needs",School_Data,93,FALSE)))</f>
        <v>--</v>
      </c>
      <c r="D91" s="103" t="str">
        <f>IF(ISERROR(VLOOKUP(School_Code&amp;"High needs",School_Data,94,FALSE)),"",(VLOOKUP(School_Code&amp;"High needs",School_Data,94,FALSE)))</f>
        <v>--</v>
      </c>
      <c r="E91" s="83" t="str">
        <f>IF(ISERROR(VLOOKUP(School_Code&amp;"High needs",School_Data,95,FALSE)),"",(VLOOKUP(School_Code&amp;"High needs",School_Data,95,FALSE)))</f>
        <v>--</v>
      </c>
      <c r="F91" s="103" t="str">
        <f>IF(ISERROR(VLOOKUP(School_Code&amp;"High needs",School_Data,96,FALSE)),"",(VLOOKUP(School_Code&amp;"High needs",School_Data,96,FALSE)))</f>
        <v>--</v>
      </c>
      <c r="G91" s="103">
        <f>IF(ISERROR(VLOOKUP(School_Code&amp;"High needs",School_Data,97,FALSE)),"",(VLOOKUP(School_Code&amp;"High needs",School_Data,97,FALSE)))</f>
        <v>11.4</v>
      </c>
      <c r="H91" s="103" t="str">
        <f>IF(ISERROR(VLOOKUP(School_Code&amp;"High needs",School_Data,98,FALSE)),"",(VLOOKUP(School_Code&amp;"High needs",School_Data,98,FALSE)))</f>
        <v>TBD</v>
      </c>
      <c r="I91" s="103" t="str">
        <f>IF(ISERROR(VLOOKUP(School_Code&amp;"High needs",School_Data,99,FALSE)),"",(VLOOKUP(School_Code&amp;"High needs",School_Data,99,FALSE)))</f>
        <v>TBD</v>
      </c>
      <c r="J91" s="103" t="str">
        <f>IF(ISERROR(VLOOKUP(School_Code&amp;"High needs",School_Data,100,FALSE)),"",(VLOOKUP(School_Code&amp;"High needs",School_Data,100,FALSE)))</f>
        <v>TBD</v>
      </c>
      <c r="K91" s="104" t="str">
        <f>IF(ISERROR(VLOOKUP(School_Code&amp;"High needs",School_Data,101,FALSE)),"",(VLOOKUP(School_Code&amp;"High needs",School_Data,101,FALSE)))</f>
        <v>TBD</v>
      </c>
      <c r="L91" s="361"/>
    </row>
    <row r="92" spans="2:12" s="3" customFormat="1" ht="15" customHeight="1">
      <c r="B92" s="99" t="s">
        <v>13</v>
      </c>
      <c r="C92" s="82" t="str">
        <f>IF(ISERROR(VLOOKUP(School_Code&amp;"Low income",School_Data,93,FALSE)),"",(VLOOKUP(School_Code&amp;"Low income",School_Data,93,FALSE)))</f>
        <v>--</v>
      </c>
      <c r="D92" s="103" t="str">
        <f>IF(ISERROR(VLOOKUP(School_Code&amp;"Low income",School_Data,94,FALSE)),"",(VLOOKUP(School_Code&amp;"Low income",School_Data,94,FALSE)))</f>
        <v>--</v>
      </c>
      <c r="E92" s="83" t="str">
        <f>IF(ISERROR(VLOOKUP(School_Code&amp;"Low income",School_Data,95,FALSE)),"",(VLOOKUP(School_Code&amp;"Low income",School_Data,95,FALSE)))</f>
        <v>--</v>
      </c>
      <c r="F92" s="103" t="str">
        <f>IF(ISERROR(VLOOKUP(School_Code&amp;"Low income",School_Data,96,FALSE)),"",(VLOOKUP(School_Code&amp;"Low income",School_Data,96,FALSE)))</f>
        <v>--</v>
      </c>
      <c r="G92" s="103">
        <f>IF(ISERROR(VLOOKUP(School_Code&amp;"Low income",School_Data,97,FALSE)),"",(VLOOKUP(School_Code&amp;"Low income",School_Data,97,FALSE)))</f>
        <v>12</v>
      </c>
      <c r="H92" s="103" t="str">
        <f>IF(ISERROR(VLOOKUP(School_Code&amp;"Low income",School_Data,98,FALSE)),"",(VLOOKUP(School_Code&amp;"Low income",School_Data,98,FALSE)))</f>
        <v>TBD</v>
      </c>
      <c r="I92" s="103" t="str">
        <f>IF(ISERROR(VLOOKUP(School_Code&amp;"Low income",School_Data,99,FALSE)),"",(VLOOKUP(School_Code&amp;"Low income",School_Data,99,FALSE)))</f>
        <v>TBD</v>
      </c>
      <c r="J92" s="103" t="str">
        <f>IF(ISERROR(VLOOKUP(School_Code&amp;"Low income",School_Data,100,FALSE)),"",(VLOOKUP(School_Code&amp;"Low income",School_Data,100,FALSE)))</f>
        <v>TBD</v>
      </c>
      <c r="K92" s="104" t="str">
        <f>IF(ISERROR(VLOOKUP(School_Code&amp;"Low income",School_Data,101,FALSE)),"",(VLOOKUP(School_Code&amp;"Low income",School_Data,101,FALSE)))</f>
        <v>TBD</v>
      </c>
      <c r="L92" s="361"/>
    </row>
    <row r="93" spans="2:12" s="3" customFormat="1" ht="15" customHeight="1">
      <c r="B93" s="99" t="s">
        <v>15</v>
      </c>
      <c r="C93" s="82" t="str">
        <f>IF(ISERROR(VLOOKUP(School_Code&amp;"ELL and Former ELL",School_Data,93,FALSE)),"",(VLOOKUP(School_Code&amp;"ELL and Former ELL",School_Data,93,FALSE)))</f>
        <v>--</v>
      </c>
      <c r="D93" s="103" t="str">
        <f>IF(ISERROR(VLOOKUP(School_Code&amp;"ELL and Former ELL",School_Data,94,FALSE)),"",(VLOOKUP(School_Code&amp;"ELL and Former ELL",School_Data,94,FALSE)))</f>
        <v>--</v>
      </c>
      <c r="E93" s="83" t="str">
        <f>IF(ISERROR(VLOOKUP(School_Code&amp;"ELL and Former ELL",School_Data,95,FALSE)),"",(VLOOKUP(School_Code&amp;"ELL and Former ELL",School_Data,95,FALSE)))</f>
        <v>--</v>
      </c>
      <c r="F93" s="103" t="str">
        <f>IF(ISERROR(VLOOKUP(School_Code&amp;"ELL and Former ELL",School_Data,96,FALSE)),"",(VLOOKUP(School_Code&amp;"ELL and Former ELL",School_Data,96,FALSE)))</f>
        <v>--</v>
      </c>
      <c r="G93" s="103" t="str">
        <f>IF(ISERROR(VLOOKUP(School_Code&amp;"ELL and Former ELL",School_Data,97,FALSE)),"",(VLOOKUP(School_Code&amp;"ELL and Former ELL",School_Data,97,FALSE)))</f>
        <v>--</v>
      </c>
      <c r="H93" s="103" t="str">
        <f>IF(ISERROR(VLOOKUP(School_Code&amp;"ELL and Former ELL",School_Data,98,FALSE)),"",(VLOOKUP(School_Code&amp;"ELL and Former ELL",School_Data,98,FALSE)))</f>
        <v>--</v>
      </c>
      <c r="I93" s="103" t="str">
        <f>IF(ISERROR(VLOOKUP(School_Code&amp;"ELL and Former ELL",School_Data,99,FALSE)),"",(VLOOKUP(School_Code&amp;"ELL and Former ELL",School_Data,99,FALSE)))</f>
        <v>--</v>
      </c>
      <c r="J93" s="103" t="str">
        <f>IF(ISERROR(VLOOKUP(School_Code&amp;"ELL and Former ELL",School_Data,100,FALSE)),"",(VLOOKUP(School_Code&amp;"ELL and Former ELL",School_Data,100,FALSE)))</f>
        <v>--</v>
      </c>
      <c r="K93" s="104" t="str">
        <f>IF(ISERROR(VLOOKUP(School_Code&amp;"ELL and Former ELL",School_Data,101,FALSE)),"",(VLOOKUP(School_Code&amp;"ELL and Former ELL",School_Data,101,FALSE)))</f>
        <v>--</v>
      </c>
      <c r="L93" s="361"/>
    </row>
    <row r="94" spans="2:12" s="3" customFormat="1" ht="15" customHeight="1">
      <c r="B94" s="99" t="s">
        <v>12</v>
      </c>
      <c r="C94" s="82" t="str">
        <f>IF(ISERROR(VLOOKUP(School_Code&amp;"Students w/disabilities",School_Data,93,FALSE)),"",(VLOOKUP(School_Code&amp;"Students w/disabilities",School_Data,93,FALSE)))</f>
        <v>--</v>
      </c>
      <c r="D94" s="103" t="str">
        <f>IF(ISERROR(VLOOKUP(School_Code&amp;"Students w/disabilities",School_Data,94,FALSE)),"",(VLOOKUP(School_Code&amp;"Students w/disabilities",School_Data,94,FALSE)))</f>
        <v>--</v>
      </c>
      <c r="E94" s="83" t="str">
        <f>IF(ISERROR(VLOOKUP(School_Code&amp;"Students w/disabilities",School_Data,95,FALSE)),"",(VLOOKUP(School_Code&amp;"Students w/disabilities",School_Data,95,FALSE)))</f>
        <v>--</v>
      </c>
      <c r="F94" s="103" t="str">
        <f>IF(ISERROR(VLOOKUP(School_Code&amp;"Students w/disabilities",School_Data,96,FALSE)),"",(VLOOKUP(School_Code&amp;"Students w/disabilities",School_Data,96,FALSE)))</f>
        <v>--</v>
      </c>
      <c r="G94" s="103">
        <f>IF(ISERROR(VLOOKUP(School_Code&amp;"Students w/disabilities",School_Data,97,FALSE)),"",(VLOOKUP(School_Code&amp;"Students w/disabilities",School_Data,97,FALSE)))</f>
        <v>31</v>
      </c>
      <c r="H94" s="103" t="str">
        <f>IF(ISERROR(VLOOKUP(School_Code&amp;"Students w/disabilities",School_Data,98,FALSE)),"",(VLOOKUP(School_Code&amp;"Students w/disabilities",School_Data,98,FALSE)))</f>
        <v>TBD</v>
      </c>
      <c r="I94" s="103" t="str">
        <f>IF(ISERROR(VLOOKUP(School_Code&amp;"Students w/disabilities",School_Data,99,FALSE)),"",(VLOOKUP(School_Code&amp;"Students w/disabilities",School_Data,99,FALSE)))</f>
        <v>TBD</v>
      </c>
      <c r="J94" s="103" t="str">
        <f>IF(ISERROR(VLOOKUP(School_Code&amp;"Students w/disabilities",School_Data,100,FALSE)),"",(VLOOKUP(School_Code&amp;"Students w/disabilities",School_Data,100,FALSE)))</f>
        <v>TBD</v>
      </c>
      <c r="K94" s="104" t="str">
        <f>IF(ISERROR(VLOOKUP(School_Code&amp;"Students w/disabilities",School_Data,101,FALSE)),"",(VLOOKUP(School_Code&amp;"Students w/disabilities",School_Data,101,FALSE)))</f>
        <v>TBD</v>
      </c>
      <c r="L94" s="361"/>
    </row>
    <row r="95" spans="2:12" s="3" customFormat="1" ht="15" customHeight="1">
      <c r="B95" s="99" t="s">
        <v>44</v>
      </c>
      <c r="C95" s="82" t="str">
        <f>IF(ISERROR(VLOOKUP(School_Code&amp;"Amer. Ind. or Alaska Nat.",School_Data,93,FALSE)),"",(VLOOKUP(School_Code&amp;"Amer. Ind. or Alaska Nat.",School_Data,93,FALSE)))</f>
        <v>--</v>
      </c>
      <c r="D95" s="103" t="str">
        <f>IF(ISERROR(VLOOKUP(School_Code&amp;"Amer. Ind. or Alaska Nat.",School_Data,94,FALSE)),"",(VLOOKUP(School_Code&amp;"Amer. Ind. or Alaska Nat.",School_Data,94,FALSE)))</f>
        <v>--</v>
      </c>
      <c r="E95" s="83" t="str">
        <f>IF(ISERROR(VLOOKUP(School_Code&amp;"Amer. Ind. or Alaska Nat.",School_Data,95,FALSE)),"",(VLOOKUP(School_Code&amp;"Amer. Ind. or Alaska Nat.",School_Data,95,FALSE)))</f>
        <v>--</v>
      </c>
      <c r="F95" s="103" t="str">
        <f>IF(ISERROR(VLOOKUP(School_Code&amp;"Amer. Ind. or Alaska Nat.",School_Data,96,FALSE)),"",(VLOOKUP(School_Code&amp;"Amer. Ind. or Alaska Nat.",School_Data,96,FALSE)))</f>
        <v>--</v>
      </c>
      <c r="G95" s="103" t="str">
        <f>IF(ISERROR(VLOOKUP(School_Code&amp;"Amer. Ind. or Alaska Nat.",School_Data,97,FALSE)),"",(VLOOKUP(School_Code&amp;"Amer. Ind. or Alaska Nat.",School_Data,97,FALSE)))</f>
        <v>--</v>
      </c>
      <c r="H95" s="103" t="str">
        <f>IF(ISERROR(VLOOKUP(School_Code&amp;"Amer. Ind. or Alaska Nat.",School_Data,98,FALSE)),"",(VLOOKUP(School_Code&amp;"Amer. Ind. or Alaska Nat.",School_Data,98,FALSE)))</f>
        <v>--</v>
      </c>
      <c r="I95" s="103" t="str">
        <f>IF(ISERROR(VLOOKUP(School_Code&amp;"Amer. Ind. or Alaska Nat.",School_Data,99,FALSE)),"",(VLOOKUP(School_Code&amp;"Amer. Ind. or Alaska Nat.",School_Data,99,FALSE)))</f>
        <v>--</v>
      </c>
      <c r="J95" s="103" t="str">
        <f>IF(ISERROR(VLOOKUP(School_Code&amp;"Amer. Ind. or Alaska Nat.",School_Data,100,FALSE)),"",(VLOOKUP(School_Code&amp;"Amer. Ind. or Alaska Nat.",School_Data,100,FALSE)))</f>
        <v>--</v>
      </c>
      <c r="K95" s="104" t="str">
        <f>IF(ISERROR(VLOOKUP(School_Code&amp;"Amer. Ind. or Alaska Nat.",School_Data,101,FALSE)),"",(VLOOKUP(School_Code&amp;"Amer. Ind. or Alaska Nat.",School_Data,101,FALSE)))</f>
        <v>--</v>
      </c>
      <c r="L95" s="361"/>
    </row>
    <row r="96" spans="2:12" s="3" customFormat="1" ht="15" customHeight="1">
      <c r="B96" s="99" t="s">
        <v>45</v>
      </c>
      <c r="C96" s="82" t="str">
        <f>IF(ISERROR(VLOOKUP(School_Code&amp;"Asian",School_Data,93,FALSE)),"",(VLOOKUP(School_Code&amp;"Asian",School_Data,93,FALSE)))</f>
        <v>--</v>
      </c>
      <c r="D96" s="103" t="str">
        <f>IF(ISERROR(VLOOKUP(School_Code&amp;"Asian",School_Data,94,FALSE)),"",(VLOOKUP(School_Code&amp;"Asian",School_Data,94,FALSE)))</f>
        <v>--</v>
      </c>
      <c r="E96" s="83" t="str">
        <f>IF(ISERROR(VLOOKUP(School_Code&amp;"Asian",School_Data,95,FALSE)),"",(VLOOKUP(School_Code&amp;"Asian",School_Data,95,FALSE)))</f>
        <v>--</v>
      </c>
      <c r="F96" s="103" t="str">
        <f>IF(ISERROR(VLOOKUP(School_Code&amp;"Asian",School_Data,96,FALSE)),"",(VLOOKUP(School_Code&amp;"Asian",School_Data,96,FALSE)))</f>
        <v>--</v>
      </c>
      <c r="G96" s="103" t="str">
        <f>IF(ISERROR(VLOOKUP(School_Code&amp;"Asian",School_Data,97,FALSE)),"",(VLOOKUP(School_Code&amp;"Asian",School_Data,97,FALSE)))</f>
        <v>--</v>
      </c>
      <c r="H96" s="103" t="str">
        <f>IF(ISERROR(VLOOKUP(School_Code&amp;"Asian",School_Data,98,FALSE)),"",(VLOOKUP(School_Code&amp;"Asian",School_Data,98,FALSE)))</f>
        <v>--</v>
      </c>
      <c r="I96" s="103" t="str">
        <f>IF(ISERROR(VLOOKUP(School_Code&amp;"Asian",School_Data,99,FALSE)),"",(VLOOKUP(School_Code&amp;"Asian",School_Data,99,FALSE)))</f>
        <v>--</v>
      </c>
      <c r="J96" s="103" t="str">
        <f>IF(ISERROR(VLOOKUP(School_Code&amp;"Asian",School_Data,100,FALSE)),"",(VLOOKUP(School_Code&amp;"Asian",School_Data,100,FALSE)))</f>
        <v>--</v>
      </c>
      <c r="K96" s="104" t="str">
        <f>IF(ISERROR(VLOOKUP(School_Code&amp;"Asian",School_Data,101,FALSE)),"",(VLOOKUP(School_Code&amp;"Asian",School_Data,101,FALSE)))</f>
        <v>--</v>
      </c>
      <c r="L96" s="361"/>
    </row>
    <row r="97" spans="2:12" s="3" customFormat="1" ht="15" customHeight="1">
      <c r="B97" s="99" t="s">
        <v>11</v>
      </c>
      <c r="C97" s="82" t="str">
        <f>IF(ISERROR(VLOOKUP(School_Code&amp;"Afr. Amer/Black",School_Data,93,FALSE)),"",(VLOOKUP(School_Code&amp;"Afr. Amer/Black",School_Data,93,FALSE)))</f>
        <v>--</v>
      </c>
      <c r="D97" s="103" t="str">
        <f>IF(ISERROR(VLOOKUP(School_Code&amp;"Afr. Amer/Black",School_Data,94,FALSE)),"",(VLOOKUP(School_Code&amp;"Afr. Amer/Black",School_Data,94,FALSE)))</f>
        <v>--</v>
      </c>
      <c r="E97" s="83" t="str">
        <f>IF(ISERROR(VLOOKUP(School_Code&amp;"Afr. Amer/Black",School_Data,95,FALSE)),"",(VLOOKUP(School_Code&amp;"Afr. Amer/Black",School_Data,95,FALSE)))</f>
        <v>--</v>
      </c>
      <c r="F97" s="103" t="str">
        <f>IF(ISERROR(VLOOKUP(School_Code&amp;"Afr. Amer/Black",School_Data,96,FALSE)),"",(VLOOKUP(School_Code&amp;"Afr. Amer/Black",School_Data,96,FALSE)))</f>
        <v>--</v>
      </c>
      <c r="G97" s="103">
        <f>IF(ISERROR(VLOOKUP(School_Code&amp;"Afr. Amer/Black",School_Data,97,FALSE)),"",(VLOOKUP(School_Code&amp;"Afr. Amer/Black",School_Data,97,FALSE)))</f>
        <v>9.5</v>
      </c>
      <c r="H97" s="103" t="str">
        <f>IF(ISERROR(VLOOKUP(School_Code&amp;"Afr. Amer/Black",School_Data,98,FALSE)),"",(VLOOKUP(School_Code&amp;"Afr. Amer/Black",School_Data,98,FALSE)))</f>
        <v>TBD</v>
      </c>
      <c r="I97" s="103" t="str">
        <f>IF(ISERROR(VLOOKUP(School_Code&amp;"Afr. Amer/Black",School_Data,99,FALSE)),"",(VLOOKUP(School_Code&amp;"Afr. Amer/Black",School_Data,99,FALSE)))</f>
        <v>TBD</v>
      </c>
      <c r="J97" s="103" t="str">
        <f>IF(ISERROR(VLOOKUP(School_Code&amp;"Afr. Amer/Black",School_Data,100,FALSE)),"",(VLOOKUP(School_Code&amp;"Afr. Amer/Black",School_Data,100,FALSE)))</f>
        <v>TBD</v>
      </c>
      <c r="K97" s="104" t="str">
        <f>IF(ISERROR(VLOOKUP(School_Code&amp;"Afr. Amer/Black",School_Data,101,FALSE)),"",(VLOOKUP(School_Code&amp;"Afr. Amer/Black",School_Data,101,FALSE)))</f>
        <v>TBD</v>
      </c>
      <c r="L97" s="361"/>
    </row>
    <row r="98" spans="2:12" s="3" customFormat="1" ht="15" customHeight="1">
      <c r="B98" s="99" t="s">
        <v>14</v>
      </c>
      <c r="C98" s="82" t="str">
        <f>IF(ISERROR(VLOOKUP(School_Code&amp;"Hispanic/Latino",School_Data,93,FALSE)),"",(VLOOKUP(School_Code&amp;"Hispanic/Latino",School_Data,93,FALSE)))</f>
        <v>--</v>
      </c>
      <c r="D98" s="103" t="str">
        <f>IF(ISERROR(VLOOKUP(School_Code&amp;"Hispanic/Latino",School_Data,94,FALSE)),"",(VLOOKUP(School_Code&amp;"Hispanic/Latino",School_Data,94,FALSE)))</f>
        <v>--</v>
      </c>
      <c r="E98" s="83" t="str">
        <f>IF(ISERROR(VLOOKUP(School_Code&amp;"Hispanic/Latino",School_Data,95,FALSE)),"",(VLOOKUP(School_Code&amp;"Hispanic/Latino",School_Data,95,FALSE)))</f>
        <v>--</v>
      </c>
      <c r="F98" s="103" t="str">
        <f>IF(ISERROR(VLOOKUP(School_Code&amp;"Hispanic/Latino",School_Data,96,FALSE)),"",(VLOOKUP(School_Code&amp;"Hispanic/Latino",School_Data,96,FALSE)))</f>
        <v>--</v>
      </c>
      <c r="G98" s="103">
        <f>IF(ISERROR(VLOOKUP(School_Code&amp;"Hispanic/Latino",School_Data,97,FALSE)),"",(VLOOKUP(School_Code&amp;"Hispanic/Latino",School_Data,97,FALSE)))</f>
        <v>18.2</v>
      </c>
      <c r="H98" s="103" t="str">
        <f>IF(ISERROR(VLOOKUP(School_Code&amp;"Hispanic/Latino",School_Data,98,FALSE)),"",(VLOOKUP(School_Code&amp;"Hispanic/Latino",School_Data,98,FALSE)))</f>
        <v>TBD</v>
      </c>
      <c r="I98" s="103" t="str">
        <f>IF(ISERROR(VLOOKUP(School_Code&amp;"Hispanic/Latino",School_Data,99,FALSE)),"",(VLOOKUP(School_Code&amp;"Hispanic/Latino",School_Data,99,FALSE)))</f>
        <v>TBD</v>
      </c>
      <c r="J98" s="103" t="str">
        <f>IF(ISERROR(VLOOKUP(School_Code&amp;"Hispanic/Latino",School_Data,100,FALSE)),"",(VLOOKUP(School_Code&amp;"Hispanic/Latino",School_Data,100,FALSE)))</f>
        <v>TBD</v>
      </c>
      <c r="K98" s="104" t="str">
        <f>IF(ISERROR(VLOOKUP(School_Code&amp;"Hispanic/Latino",School_Data,101,FALSE)),"",(VLOOKUP(School_Code&amp;"Hispanic/Latino",School_Data,101,FALSE)))</f>
        <v>TBD</v>
      </c>
      <c r="L98" s="361"/>
    </row>
    <row r="99" spans="2:12" s="3" customFormat="1" ht="15" customHeight="1">
      <c r="B99" s="99" t="s">
        <v>46</v>
      </c>
      <c r="C99" s="82" t="str">
        <f>IF(ISERROR(VLOOKUP(School_Code&amp;"Multi-race, Non-Hisp./Lat.",School_Data,93,FALSE)),"",(VLOOKUP(School_Code&amp;"Multi-race, Non-Hisp./Lat.",School_Data,93,FALSE)))</f>
        <v>--</v>
      </c>
      <c r="D99" s="103" t="str">
        <f>IF(ISERROR(VLOOKUP(School_Code&amp;"Multi-race, Non-Hisp./Lat.",School_Data,94,FALSE)),"",(VLOOKUP(School_Code&amp;"Multi-race, Non-Hisp./Lat.",School_Data,94,FALSE)))</f>
        <v>--</v>
      </c>
      <c r="E99" s="83" t="str">
        <f>IF(ISERROR(VLOOKUP(School_Code&amp;"Multi-race, Non-Hisp./Lat.",School_Data,95,FALSE)),"",(VLOOKUP(School_Code&amp;"Multi-race, Non-Hisp./Lat.",School_Data,95,FALSE)))</f>
        <v>--</v>
      </c>
      <c r="F99" s="103" t="str">
        <f>IF(ISERROR(VLOOKUP(School_Code&amp;"Multi-race, Non-Hisp./Lat.",School_Data,96,FALSE)),"",(VLOOKUP(School_Code&amp;"Multi-race, Non-Hisp./Lat.",School_Data,96,FALSE)))</f>
        <v>--</v>
      </c>
      <c r="G99" s="103" t="str">
        <f>IF(ISERROR(VLOOKUP(School_Code&amp;"Multi-race, Non-Hisp./Lat.",School_Data,97,FALSE)),"",(VLOOKUP(School_Code&amp;"Multi-race, Non-Hisp./Lat.",School_Data,97,FALSE)))</f>
        <v>--</v>
      </c>
      <c r="H99" s="103" t="str">
        <f>IF(ISERROR(VLOOKUP(School_Code&amp;"Multi-race, Non-Hisp./Lat.",School_Data,98,FALSE)),"",(VLOOKUP(School_Code&amp;"Multi-race, Non-Hisp./Lat.",School_Data,98,FALSE)))</f>
        <v>--</v>
      </c>
      <c r="I99" s="103" t="str">
        <f>IF(ISERROR(VLOOKUP(School_Code&amp;"Multi-race, Non-Hisp./Lat.",School_Data,99,FALSE)),"",(VLOOKUP(School_Code&amp;"Multi-race, Non-Hisp./Lat.",School_Data,99,FALSE)))</f>
        <v>--</v>
      </c>
      <c r="J99" s="103" t="str">
        <f>IF(ISERROR(VLOOKUP(School_Code&amp;"Multi-race, Non-Hisp./Lat.",School_Data,100,FALSE)),"",(VLOOKUP(School_Code&amp;"Multi-race, Non-Hisp./Lat.",School_Data,100,FALSE)))</f>
        <v>--</v>
      </c>
      <c r="K99" s="104" t="str">
        <f>IF(ISERROR(VLOOKUP(School_Code&amp;"Multi-race, Non-Hisp./Lat.",School_Data,101,FALSE)),"",(VLOOKUP(School_Code&amp;"Multi-race, Non-Hisp./Lat.",School_Data,101,FALSE)))</f>
        <v>--</v>
      </c>
      <c r="L99" s="361"/>
    </row>
    <row r="100" spans="2:12" s="3" customFormat="1" ht="15" customHeight="1">
      <c r="B100" s="99" t="s">
        <v>47</v>
      </c>
      <c r="C100" s="82" t="str">
        <f>IF(ISERROR(VLOOKUP(School_Code&amp;"Nat. Haw. or Pacif. Isl.",School_Data,93,FALSE)),"",(VLOOKUP(School_Code&amp;"Nat. Haw. or Pacif. Isl.",School_Data,93,FALSE)))</f>
        <v>--</v>
      </c>
      <c r="D100" s="103" t="str">
        <f>IF(ISERROR(VLOOKUP(School_Code&amp;"Nat. Haw. or Pacif. Isl.",School_Data,94,FALSE)),"",(VLOOKUP(School_Code&amp;"Nat. Haw. or Pacif. Isl.",School_Data,94,FALSE)))</f>
        <v>--</v>
      </c>
      <c r="E100" s="83" t="str">
        <f>IF(ISERROR(VLOOKUP(School_Code&amp;"Nat. Haw. or Pacif. Isl.",School_Data,95,FALSE)),"",(VLOOKUP(School_Code&amp;"Nat. Haw. or Pacif. Isl.",School_Data,95,FALSE)))</f>
        <v>--</v>
      </c>
      <c r="F100" s="103" t="str">
        <f>IF(ISERROR(VLOOKUP(School_Code&amp;"Nat. Haw. or Pacif. Isl.",School_Data,96,FALSE)),"",(VLOOKUP(School_Code&amp;"Nat. Haw. or Pacif. Isl.",School_Data,96,FALSE)))</f>
        <v>--</v>
      </c>
      <c r="G100" s="103" t="str">
        <f>IF(ISERROR(VLOOKUP(School_Code&amp;"Nat. Haw. or Pacif. Isl.",School_Data,97,FALSE)),"",(VLOOKUP(School_Code&amp;"Nat. Haw. or Pacif. Isl.",School_Data,97,FALSE)))</f>
        <v>--</v>
      </c>
      <c r="H100" s="103" t="str">
        <f>IF(ISERROR(VLOOKUP(School_Code&amp;"Nat. Haw. or Pacif. Isl.",School_Data,98,FALSE)),"",(VLOOKUP(School_Code&amp;"Nat. Haw. or Pacif. Isl.",School_Data,98,FALSE)))</f>
        <v>--</v>
      </c>
      <c r="I100" s="103" t="str">
        <f>IF(ISERROR(VLOOKUP(School_Code&amp;"Nat. Haw. or Pacif. Isl.",School_Data,99,FALSE)),"",(VLOOKUP(School_Code&amp;"Nat. Haw. or Pacif. Isl.",School_Data,99,FALSE)))</f>
        <v>--</v>
      </c>
      <c r="J100" s="103" t="str">
        <f>IF(ISERROR(VLOOKUP(School_Code&amp;"Nat. Haw. or Pacif. Isl.",School_Data,100,FALSE)),"",(VLOOKUP(School_Code&amp;"Nat. Haw. or Pacif. Isl.",School_Data,100,FALSE)))</f>
        <v>--</v>
      </c>
      <c r="K100" s="104" t="str">
        <f>IF(ISERROR(VLOOKUP(School_Code&amp;"Nat. Haw. or Pacif. Isl.",School_Data,101,FALSE)),"",(VLOOKUP(School_Code&amp;"Nat. Haw. or Pacif. Isl.",School_Data,101,FALSE)))</f>
        <v>--</v>
      </c>
      <c r="L100" s="361"/>
    </row>
    <row r="101" spans="2:12" s="3" customFormat="1" ht="15" customHeight="1">
      <c r="B101" s="102" t="s">
        <v>17</v>
      </c>
      <c r="C101" s="105" t="str">
        <f>IF(ISERROR(VLOOKUP(School_Code&amp;"White",School_Data,93,FALSE)),"",(VLOOKUP(School_Code&amp;"White",School_Data,93,FALSE)))</f>
        <v>--</v>
      </c>
      <c r="D101" s="106" t="str">
        <f>IF(ISERROR(VLOOKUP(School_Code&amp;"White",School_Data,94,FALSE)),"",(VLOOKUP(School_Code&amp;"White",School_Data,94,FALSE)))</f>
        <v>--</v>
      </c>
      <c r="E101" s="107" t="str">
        <f>IF(ISERROR(VLOOKUP(School_Code&amp;"White",School_Data,95,FALSE)),"",(VLOOKUP(School_Code&amp;"White",School_Data,95,FALSE)))</f>
        <v>--</v>
      </c>
      <c r="F101" s="106" t="str">
        <f>IF(ISERROR(VLOOKUP(School_Code&amp;"White",School_Data,96,FALSE)),"",(VLOOKUP(School_Code&amp;"White",School_Data,96,FALSE)))</f>
        <v>--</v>
      </c>
      <c r="G101" s="106">
        <f>IF(ISERROR(VLOOKUP(School_Code&amp;"White",School_Data,97,FALSE)),"",(VLOOKUP(School_Code&amp;"White",School_Data,97,FALSE)))</f>
        <v>8.3000000000000007</v>
      </c>
      <c r="H101" s="106" t="str">
        <f>IF(ISERROR(VLOOKUP(School_Code&amp;"White",School_Data,98,FALSE)),"",(VLOOKUP(School_Code&amp;"White",School_Data,98,FALSE)))</f>
        <v>TBD</v>
      </c>
      <c r="I101" s="106" t="str">
        <f>IF(ISERROR(VLOOKUP(School_Code&amp;"White",School_Data,99,FALSE)),"",(VLOOKUP(School_Code&amp;"White",School_Data,99,FALSE)))</f>
        <v>TBD</v>
      </c>
      <c r="J101" s="106" t="str">
        <f>IF(ISERROR(VLOOKUP(School_Code&amp;"White",School_Data,100,FALSE)),"",(VLOOKUP(School_Code&amp;"White",School_Data,100,FALSE)))</f>
        <v>TBD</v>
      </c>
      <c r="K101" s="108" t="str">
        <f>IF(ISERROR(VLOOKUP(School_Code&amp;"White",School_Data,101,FALSE)),"",(VLOOKUP(School_Code&amp;"White",School_Data,101,FALSE)))</f>
        <v>TBD</v>
      </c>
      <c r="L101" s="362"/>
    </row>
    <row r="102" spans="2:12" s="3" customFormat="1" ht="38.25">
      <c r="B102" s="144" t="s">
        <v>352</v>
      </c>
      <c r="C102" s="299" t="str">
        <f>IF(ISERROR(VLOOKUP(School_Code&amp;"All students",School_Data,102,FALSE)),"",(VLOOKUP(School_Code&amp;"All students",School_Data,102,FALSE)))</f>
        <v>--</v>
      </c>
      <c r="D102" s="356" t="str">
        <f>IF(ISERROR(VLOOKUP(School_Code&amp;"All students",School_Data,103,FALSE)),"",(VLOOKUP(School_Code&amp;"All students",School_Data,103,FALSE)))</f>
        <v>--</v>
      </c>
      <c r="E102" s="364" t="str">
        <f>IF(ISERROR(VLOOKUP(School_Code&amp;"All students",School_Data,104,FALSE)),"",(VLOOKUP(School_Code&amp;"All students",School_Data,104,FALSE)))</f>
        <v>--</v>
      </c>
      <c r="F102" s="356" t="str">
        <f>IF(ISERROR(VLOOKUP(School_Code&amp;"All students",School_Data,105,FALSE)),"",(VLOOKUP(School_Code&amp;"All students",School_Data,105,FALSE)))</f>
        <v>--</v>
      </c>
      <c r="G102" s="356">
        <f>IF(ISERROR(VLOOKUP(School_Code&amp;"All students",School_Data,106,FALSE)),"",(VLOOKUP(School_Code&amp;"All students",School_Data,106,FALSE)))</f>
        <v>13.2</v>
      </c>
      <c r="H102" s="356" t="str">
        <f>IF(ISERROR(VLOOKUP(School_Code&amp;"All students",School_Data,107,FALSE)),"",(VLOOKUP(School_Code&amp;"All students",School_Data,107,FALSE)))</f>
        <v>TBD</v>
      </c>
      <c r="I102" s="356" t="str">
        <f>IF(ISERROR(VLOOKUP(School_Code&amp;"All students",School_Data,108,FALSE)),"",(VLOOKUP(School_Code&amp;"All students",School_Data,108,FALSE)))</f>
        <v>TBD</v>
      </c>
      <c r="J102" s="356" t="str">
        <f>IF(ISERROR(VLOOKUP(School_Code&amp;"All students",School_Data,109,FALSE)),"",(VLOOKUP(School_Code&amp;"All students",School_Data,109,FALSE)))</f>
        <v>TBD</v>
      </c>
      <c r="K102" s="366" t="str">
        <f>IF(ISERROR(VLOOKUP(School_Code&amp;"All students",School_Data,110,FALSE)),"",(VLOOKUP(School_Code&amp;"All students",School_Data,110,FALSE)))</f>
        <v>TBD</v>
      </c>
      <c r="L102" s="368" t="s">
        <v>319</v>
      </c>
    </row>
    <row r="103" spans="2:12" s="3" customFormat="1" ht="25.5" hidden="1">
      <c r="B103" s="98" t="s">
        <v>39</v>
      </c>
      <c r="C103" s="363"/>
      <c r="D103" s="357"/>
      <c r="E103" s="365"/>
      <c r="F103" s="357"/>
      <c r="G103" s="357"/>
      <c r="H103" s="357"/>
      <c r="I103" s="357"/>
      <c r="J103" s="357"/>
      <c r="K103" s="367"/>
      <c r="L103" s="361"/>
    </row>
    <row r="104" spans="2:12" s="3" customFormat="1" ht="15" customHeight="1">
      <c r="B104" s="99" t="s">
        <v>16</v>
      </c>
      <c r="C104" s="82" t="str">
        <f>IF(ISERROR(VLOOKUP(School_Code&amp;"High needs",School_Data,102,FALSE)),"",(VLOOKUP(School_Code&amp;"High needs",School_Data,102,FALSE)))</f>
        <v>--</v>
      </c>
      <c r="D104" s="103" t="str">
        <f>IF(ISERROR(VLOOKUP(School_Code&amp;"High needs",School_Data,103,FALSE)),"",(VLOOKUP(School_Code&amp;"High needs",School_Data,103,FALSE)))</f>
        <v>--</v>
      </c>
      <c r="E104" s="83" t="str">
        <f>IF(ISERROR(VLOOKUP(School_Code&amp;"High needs",School_Data,104,FALSE)),"",(VLOOKUP(School_Code&amp;"High needs",School_Data,104,FALSE)))</f>
        <v>--</v>
      </c>
      <c r="F104" s="103" t="str">
        <f>IF(ISERROR(VLOOKUP(School_Code&amp;"High needs",School_Data,105,FALSE)),"",(VLOOKUP(School_Code&amp;"High needs",School_Data,105,FALSE)))</f>
        <v>--</v>
      </c>
      <c r="G104" s="103">
        <f>IF(ISERROR(VLOOKUP(School_Code&amp;"High needs",School_Data,106,FALSE)),"",(VLOOKUP(School_Code&amp;"High needs",School_Data,106,FALSE)))</f>
        <v>11.4</v>
      </c>
      <c r="H104" s="103" t="str">
        <f>IF(ISERROR(VLOOKUP(School_Code&amp;"High needs",School_Data,107,FALSE)),"",(VLOOKUP(School_Code&amp;"High needs",School_Data,107,FALSE)))</f>
        <v>TBD</v>
      </c>
      <c r="I104" s="103" t="str">
        <f>IF(ISERROR(VLOOKUP(School_Code&amp;"High needs",School_Data,108,FALSE)),"",(VLOOKUP(School_Code&amp;"High needs",School_Data,108,FALSE)))</f>
        <v>TBD</v>
      </c>
      <c r="J104" s="103" t="str">
        <f>IF(ISERROR(VLOOKUP(School_Code&amp;"High needs",School_Data,109,FALSE)),"",(VLOOKUP(School_Code&amp;"High needs",School_Data,109,FALSE)))</f>
        <v>TBD</v>
      </c>
      <c r="K104" s="104" t="str">
        <f>IF(ISERROR(VLOOKUP(School_Code&amp;"High needs",School_Data,110,FALSE)),"",(VLOOKUP(School_Code&amp;"High needs",School_Data,110,FALSE)))</f>
        <v>TBD</v>
      </c>
      <c r="L104" s="361"/>
    </row>
    <row r="105" spans="2:12" s="3" customFormat="1" ht="15" customHeight="1">
      <c r="B105" s="99" t="s">
        <v>13</v>
      </c>
      <c r="C105" s="82" t="str">
        <f>IF(ISERROR(VLOOKUP(School_Code&amp;"Low income",School_Data,102,FALSE)),"",(VLOOKUP(School_Code&amp;"Low income",School_Data,102,FALSE)))</f>
        <v>--</v>
      </c>
      <c r="D105" s="103" t="str">
        <f>IF(ISERROR(VLOOKUP(School_Code&amp;"Low income",School_Data,103,FALSE)),"",(VLOOKUP(School_Code&amp;"Low income",School_Data,103,FALSE)))</f>
        <v>--</v>
      </c>
      <c r="E105" s="83" t="str">
        <f>IF(ISERROR(VLOOKUP(School_Code&amp;"Low income",School_Data,104,FALSE)),"",(VLOOKUP(School_Code&amp;"Low income",School_Data,104,FALSE)))</f>
        <v>--</v>
      </c>
      <c r="F105" s="103" t="str">
        <f>IF(ISERROR(VLOOKUP(School_Code&amp;"Low income",School_Data,105,FALSE)),"",(VLOOKUP(School_Code&amp;"Low income",School_Data,105,FALSE)))</f>
        <v>--</v>
      </c>
      <c r="G105" s="103">
        <f>IF(ISERROR(VLOOKUP(School_Code&amp;"Low income",School_Data,106,FALSE)),"",(VLOOKUP(School_Code&amp;"Low income",School_Data,106,FALSE)))</f>
        <v>9.6999999999999993</v>
      </c>
      <c r="H105" s="103" t="str">
        <f>IF(ISERROR(VLOOKUP(School_Code&amp;"Low income",School_Data,107,FALSE)),"",(VLOOKUP(School_Code&amp;"Low income",School_Data,107,FALSE)))</f>
        <v>TBD</v>
      </c>
      <c r="I105" s="103" t="str">
        <f>IF(ISERROR(VLOOKUP(School_Code&amp;"Low income",School_Data,108,FALSE)),"",(VLOOKUP(School_Code&amp;"Low income",School_Data,108,FALSE)))</f>
        <v>TBD</v>
      </c>
      <c r="J105" s="103" t="str">
        <f>IF(ISERROR(VLOOKUP(School_Code&amp;"Low income",School_Data,109,FALSE)),"",(VLOOKUP(School_Code&amp;"Low income",School_Data,109,FALSE)))</f>
        <v>TBD</v>
      </c>
      <c r="K105" s="104" t="str">
        <f>IF(ISERROR(VLOOKUP(School_Code&amp;"Low income",School_Data,110,FALSE)),"",(VLOOKUP(School_Code&amp;"Low income",School_Data,110,FALSE)))</f>
        <v>TBD</v>
      </c>
      <c r="L105" s="361"/>
    </row>
    <row r="106" spans="2:12" s="3" customFormat="1" ht="15" customHeight="1">
      <c r="B106" s="99" t="s">
        <v>15</v>
      </c>
      <c r="C106" s="82" t="str">
        <f>IF(ISERROR(VLOOKUP(School_Code&amp;"ELL and Former ELL",School_Data,102,FALSE)),"",(VLOOKUP(School_Code&amp;"ELL and Former ELL",School_Data,102,FALSE)))</f>
        <v>--</v>
      </c>
      <c r="D106" s="103" t="str">
        <f>IF(ISERROR(VLOOKUP(School_Code&amp;"ELL and Former ELL",School_Data,103,FALSE)),"",(VLOOKUP(School_Code&amp;"ELL and Former ELL",School_Data,103,FALSE)))</f>
        <v>--</v>
      </c>
      <c r="E106" s="83" t="str">
        <f>IF(ISERROR(VLOOKUP(School_Code&amp;"ELL and Former ELL",School_Data,104,FALSE)),"",(VLOOKUP(School_Code&amp;"ELL and Former ELL",School_Data,104,FALSE)))</f>
        <v>--</v>
      </c>
      <c r="F106" s="103" t="str">
        <f>IF(ISERROR(VLOOKUP(School_Code&amp;"ELL and Former ELL",School_Data,105,FALSE)),"",(VLOOKUP(School_Code&amp;"ELL and Former ELL",School_Data,105,FALSE)))</f>
        <v>--</v>
      </c>
      <c r="G106" s="103" t="str">
        <f>IF(ISERROR(VLOOKUP(School_Code&amp;"ELL and Former ELL",School_Data,106,FALSE)),"",(VLOOKUP(School_Code&amp;"ELL and Former ELL",School_Data,106,FALSE)))</f>
        <v>--</v>
      </c>
      <c r="H106" s="103" t="str">
        <f>IF(ISERROR(VLOOKUP(School_Code&amp;"ELL and Former ELL",School_Data,107,FALSE)),"",(VLOOKUP(School_Code&amp;"ELL and Former ELL",School_Data,107,FALSE)))</f>
        <v>--</v>
      </c>
      <c r="I106" s="103" t="str">
        <f>IF(ISERROR(VLOOKUP(School_Code&amp;"ELL and Former ELL",School_Data,108,FALSE)),"",(VLOOKUP(School_Code&amp;"ELL and Former ELL",School_Data,108,FALSE)))</f>
        <v>--</v>
      </c>
      <c r="J106" s="103" t="str">
        <f>IF(ISERROR(VLOOKUP(School_Code&amp;"ELL and Former ELL",School_Data,109,FALSE)),"",(VLOOKUP(School_Code&amp;"ELL and Former ELL",School_Data,109,FALSE)))</f>
        <v>--</v>
      </c>
      <c r="K106" s="104" t="str">
        <f>IF(ISERROR(VLOOKUP(School_Code&amp;"ELL and Former ELL",School_Data,110,FALSE)),"",(VLOOKUP(School_Code&amp;"ELL and Former ELL",School_Data,110,FALSE)))</f>
        <v>--</v>
      </c>
      <c r="L106" s="361"/>
    </row>
    <row r="107" spans="2:12" s="3" customFormat="1" ht="15" customHeight="1">
      <c r="B107" s="99" t="s">
        <v>12</v>
      </c>
      <c r="C107" s="82" t="str">
        <f>IF(ISERROR(VLOOKUP(School_Code&amp;"Students w/disabilities",School_Data,102,FALSE)),"",(VLOOKUP(School_Code&amp;"Students w/disabilities",School_Data,102,FALSE)))</f>
        <v>--</v>
      </c>
      <c r="D107" s="103" t="str">
        <f>IF(ISERROR(VLOOKUP(School_Code&amp;"Students w/disabilities",School_Data,103,FALSE)),"",(VLOOKUP(School_Code&amp;"Students w/disabilities",School_Data,103,FALSE)))</f>
        <v>--</v>
      </c>
      <c r="E107" s="83" t="str">
        <f>IF(ISERROR(VLOOKUP(School_Code&amp;"Students w/disabilities",School_Data,104,FALSE)),"",(VLOOKUP(School_Code&amp;"Students w/disabilities",School_Data,104,FALSE)))</f>
        <v>--</v>
      </c>
      <c r="F107" s="103" t="str">
        <f>IF(ISERROR(VLOOKUP(School_Code&amp;"Students w/disabilities",School_Data,105,FALSE)),"",(VLOOKUP(School_Code&amp;"Students w/disabilities",School_Data,105,FALSE)))</f>
        <v>--</v>
      </c>
      <c r="G107" s="103" t="str">
        <f>IF(ISERROR(VLOOKUP(School_Code&amp;"Students w/disabilities",School_Data,106,FALSE)),"",(VLOOKUP(School_Code&amp;"Students w/disabilities",School_Data,106,FALSE)))</f>
        <v>--</v>
      </c>
      <c r="H107" s="103" t="str">
        <f>IF(ISERROR(VLOOKUP(School_Code&amp;"Students w/disabilities",School_Data,107,FALSE)),"",(VLOOKUP(School_Code&amp;"Students w/disabilities",School_Data,107,FALSE)))</f>
        <v>--</v>
      </c>
      <c r="I107" s="103" t="str">
        <f>IF(ISERROR(VLOOKUP(School_Code&amp;"Students w/disabilities",School_Data,108,FALSE)),"",(VLOOKUP(School_Code&amp;"Students w/disabilities",School_Data,108,FALSE)))</f>
        <v>--</v>
      </c>
      <c r="J107" s="103" t="str">
        <f>IF(ISERROR(VLOOKUP(School_Code&amp;"Students w/disabilities",School_Data,109,FALSE)),"",(VLOOKUP(School_Code&amp;"Students w/disabilities",School_Data,109,FALSE)))</f>
        <v>--</v>
      </c>
      <c r="K107" s="104" t="str">
        <f>IF(ISERROR(VLOOKUP(School_Code&amp;"Students w/disabilities",School_Data,110,FALSE)),"",(VLOOKUP(School_Code&amp;"Students w/disabilities",School_Data,110,FALSE)))</f>
        <v>--</v>
      </c>
      <c r="L107" s="361"/>
    </row>
    <row r="108" spans="2:12" s="3" customFormat="1" ht="15" customHeight="1">
      <c r="B108" s="99" t="s">
        <v>44</v>
      </c>
      <c r="C108" s="82" t="str">
        <f>IF(ISERROR(VLOOKUP(School_Code&amp;"Amer. Ind. or Alaska Nat.",School_Data,102,FALSE)),"",(VLOOKUP(School_Code&amp;"Amer. Ind. or Alaska Nat.",School_Data,102,FALSE)))</f>
        <v>--</v>
      </c>
      <c r="D108" s="103" t="str">
        <f>IF(ISERROR(VLOOKUP(School_Code&amp;"Amer. Ind. or Alaska Nat.",School_Data,103,FALSE)),"",(VLOOKUP(School_Code&amp;"Amer. Ind. or Alaska Nat.",School_Data,103,FALSE)))</f>
        <v>--</v>
      </c>
      <c r="E108" s="83" t="str">
        <f>IF(ISERROR(VLOOKUP(School_Code&amp;"Amer. Ind. or Alaska Nat.",School_Data,104,FALSE)),"",(VLOOKUP(School_Code&amp;"Amer. Ind. or Alaska Nat.",School_Data,104,FALSE)))</f>
        <v>--</v>
      </c>
      <c r="F108" s="103" t="str">
        <f>IF(ISERROR(VLOOKUP(School_Code&amp;"Amer. Ind. or Alaska Nat.",School_Data,105,FALSE)),"",(VLOOKUP(School_Code&amp;"Amer. Ind. or Alaska Nat.",School_Data,105,FALSE)))</f>
        <v>--</v>
      </c>
      <c r="G108" s="103" t="str">
        <f>IF(ISERROR(VLOOKUP(School_Code&amp;"Amer. Ind. or Alaska Nat.",School_Data,106,FALSE)),"",(VLOOKUP(School_Code&amp;"Amer. Ind. or Alaska Nat.",School_Data,106,FALSE)))</f>
        <v>--</v>
      </c>
      <c r="H108" s="103" t="str">
        <f>IF(ISERROR(VLOOKUP(School_Code&amp;"Amer. Ind. or Alaska Nat.",School_Data,107,FALSE)),"",(VLOOKUP(School_Code&amp;"Amer. Ind. or Alaska Nat.",School_Data,107,FALSE)))</f>
        <v>--</v>
      </c>
      <c r="I108" s="103" t="str">
        <f>IF(ISERROR(VLOOKUP(School_Code&amp;"Amer. Ind. or Alaska Nat.",School_Data,108,FALSE)),"",(VLOOKUP(School_Code&amp;"Amer. Ind. or Alaska Nat.",School_Data,108,FALSE)))</f>
        <v>--</v>
      </c>
      <c r="J108" s="103" t="str">
        <f>IF(ISERROR(VLOOKUP(School_Code&amp;"Amer. Ind. or Alaska Nat.",School_Data,109,FALSE)),"",(VLOOKUP(School_Code&amp;"Amer. Ind. or Alaska Nat.",School_Data,109,FALSE)))</f>
        <v>--</v>
      </c>
      <c r="K108" s="104" t="str">
        <f>IF(ISERROR(VLOOKUP(School_Code&amp;"Amer. Ind. or Alaska Nat.",School_Data,110,FALSE)),"",(VLOOKUP(School_Code&amp;"Amer. Ind. or Alaska Nat.",School_Data,110,FALSE)))</f>
        <v>--</v>
      </c>
      <c r="L108" s="361"/>
    </row>
    <row r="109" spans="2:12" s="3" customFormat="1" ht="15" customHeight="1">
      <c r="B109" s="99" t="s">
        <v>45</v>
      </c>
      <c r="C109" s="82" t="str">
        <f>IF(ISERROR(VLOOKUP(School_Code&amp;"Asian",School_Data,102,FALSE)),"",(VLOOKUP(School_Code&amp;"Asian",School_Data,102,FALSE)))</f>
        <v>--</v>
      </c>
      <c r="D109" s="103" t="str">
        <f>IF(ISERROR(VLOOKUP(School_Code&amp;"Asian",School_Data,103,FALSE)),"",(VLOOKUP(School_Code&amp;"Asian",School_Data,103,FALSE)))</f>
        <v>--</v>
      </c>
      <c r="E109" s="83" t="str">
        <f>IF(ISERROR(VLOOKUP(School_Code&amp;"Asian",School_Data,104,FALSE)),"",(VLOOKUP(School_Code&amp;"Asian",School_Data,104,FALSE)))</f>
        <v>--</v>
      </c>
      <c r="F109" s="103" t="str">
        <f>IF(ISERROR(VLOOKUP(School_Code&amp;"Asian",School_Data,105,FALSE)),"",(VLOOKUP(School_Code&amp;"Asian",School_Data,105,FALSE)))</f>
        <v>--</v>
      </c>
      <c r="G109" s="103" t="str">
        <f>IF(ISERROR(VLOOKUP(School_Code&amp;"Asian",School_Data,106,FALSE)),"",(VLOOKUP(School_Code&amp;"Asian",School_Data,106,FALSE)))</f>
        <v>--</v>
      </c>
      <c r="H109" s="103" t="str">
        <f>IF(ISERROR(VLOOKUP(School_Code&amp;"Asian",School_Data,107,FALSE)),"",(VLOOKUP(School_Code&amp;"Asian",School_Data,107,FALSE)))</f>
        <v>--</v>
      </c>
      <c r="I109" s="103" t="str">
        <f>IF(ISERROR(VLOOKUP(School_Code&amp;"Asian",School_Data,108,FALSE)),"",(VLOOKUP(School_Code&amp;"Asian",School_Data,108,FALSE)))</f>
        <v>--</v>
      </c>
      <c r="J109" s="103" t="str">
        <f>IF(ISERROR(VLOOKUP(School_Code&amp;"Asian",School_Data,109,FALSE)),"",(VLOOKUP(School_Code&amp;"Asian",School_Data,109,FALSE)))</f>
        <v>--</v>
      </c>
      <c r="K109" s="104" t="str">
        <f>IF(ISERROR(VLOOKUP(School_Code&amp;"Asian",School_Data,110,FALSE)),"",(VLOOKUP(School_Code&amp;"Asian",School_Data,110,FALSE)))</f>
        <v>--</v>
      </c>
      <c r="L109" s="361"/>
    </row>
    <row r="110" spans="2:12" s="3" customFormat="1" ht="15" customHeight="1">
      <c r="B110" s="99" t="s">
        <v>11</v>
      </c>
      <c r="C110" s="82" t="str">
        <f>IF(ISERROR(VLOOKUP(School_Code&amp;"Afr. Amer/Black",School_Data,102,FALSE)),"",(VLOOKUP(School_Code&amp;"Afr. Amer/Black",School_Data,102,FALSE)))</f>
        <v>--</v>
      </c>
      <c r="D110" s="103" t="str">
        <f>IF(ISERROR(VLOOKUP(School_Code&amp;"Afr. Amer/Black",School_Data,103,FALSE)),"",(VLOOKUP(School_Code&amp;"Afr. Amer/Black",School_Data,103,FALSE)))</f>
        <v>--</v>
      </c>
      <c r="E110" s="83" t="str">
        <f>IF(ISERROR(VLOOKUP(School_Code&amp;"Afr. Amer/Black",School_Data,104,FALSE)),"",(VLOOKUP(School_Code&amp;"Afr. Amer/Black",School_Data,104,FALSE)))</f>
        <v>--</v>
      </c>
      <c r="F110" s="103" t="str">
        <f>IF(ISERROR(VLOOKUP(School_Code&amp;"Afr. Amer/Black",School_Data,105,FALSE)),"",(VLOOKUP(School_Code&amp;"Afr. Amer/Black",School_Data,105,FALSE)))</f>
        <v>--</v>
      </c>
      <c r="G110" s="103" t="str">
        <f>IF(ISERROR(VLOOKUP(School_Code&amp;"Afr. Amer/Black",School_Data,106,FALSE)),"",(VLOOKUP(School_Code&amp;"Afr. Amer/Black",School_Data,106,FALSE)))</f>
        <v>--</v>
      </c>
      <c r="H110" s="103" t="str">
        <f>IF(ISERROR(VLOOKUP(School_Code&amp;"Afr. Amer/Black",School_Data,107,FALSE)),"",(VLOOKUP(School_Code&amp;"Afr. Amer/Black",School_Data,107,FALSE)))</f>
        <v>--</v>
      </c>
      <c r="I110" s="103" t="str">
        <f>IF(ISERROR(VLOOKUP(School_Code&amp;"Afr. Amer/Black",School_Data,108,FALSE)),"",(VLOOKUP(School_Code&amp;"Afr. Amer/Black",School_Data,108,FALSE)))</f>
        <v>--</v>
      </c>
      <c r="J110" s="103" t="str">
        <f>IF(ISERROR(VLOOKUP(School_Code&amp;"Afr. Amer/Black",School_Data,109,FALSE)),"",(VLOOKUP(School_Code&amp;"Afr. Amer/Black",School_Data,109,FALSE)))</f>
        <v>--</v>
      </c>
      <c r="K110" s="104" t="str">
        <f>IF(ISERROR(VLOOKUP(School_Code&amp;"Afr. Amer/Black",School_Data,110,FALSE)),"",(VLOOKUP(School_Code&amp;"Afr. Amer/Black",School_Data,110,FALSE)))</f>
        <v>--</v>
      </c>
      <c r="L110" s="361"/>
    </row>
    <row r="111" spans="2:12" s="3" customFormat="1" ht="15" customHeight="1">
      <c r="B111" s="99" t="s">
        <v>14</v>
      </c>
      <c r="C111" s="82" t="str">
        <f>IF(ISERROR(VLOOKUP(School_Code&amp;"Hispanic/Latino",School_Data,102,FALSE)),"",(VLOOKUP(School_Code&amp;"Hispanic/Latino",School_Data,102,FALSE)))</f>
        <v>--</v>
      </c>
      <c r="D111" s="103" t="str">
        <f>IF(ISERROR(VLOOKUP(School_Code&amp;"Hispanic/Latino",School_Data,103,FALSE)),"",(VLOOKUP(School_Code&amp;"Hispanic/Latino",School_Data,103,FALSE)))</f>
        <v>--</v>
      </c>
      <c r="E111" s="83" t="str">
        <f>IF(ISERROR(VLOOKUP(School_Code&amp;"Hispanic/Latino",School_Data,104,FALSE)),"",(VLOOKUP(School_Code&amp;"Hispanic/Latino",School_Data,104,FALSE)))</f>
        <v>--</v>
      </c>
      <c r="F111" s="103" t="str">
        <f>IF(ISERROR(VLOOKUP(School_Code&amp;"Hispanic/Latino",School_Data,105,FALSE)),"",(VLOOKUP(School_Code&amp;"Hispanic/Latino",School_Data,105,FALSE)))</f>
        <v>--</v>
      </c>
      <c r="G111" s="103" t="str">
        <f>IF(ISERROR(VLOOKUP(School_Code&amp;"Hispanic/Latino",School_Data,106,FALSE)),"",(VLOOKUP(School_Code&amp;"Hispanic/Latino",School_Data,106,FALSE)))</f>
        <v>--</v>
      </c>
      <c r="H111" s="103" t="str">
        <f>IF(ISERROR(VLOOKUP(School_Code&amp;"Hispanic/Latino",School_Data,107,FALSE)),"",(VLOOKUP(School_Code&amp;"Hispanic/Latino",School_Data,107,FALSE)))</f>
        <v>--</v>
      </c>
      <c r="I111" s="103" t="str">
        <f>IF(ISERROR(VLOOKUP(School_Code&amp;"Hispanic/Latino",School_Data,108,FALSE)),"",(VLOOKUP(School_Code&amp;"Hispanic/Latino",School_Data,108,FALSE)))</f>
        <v>--</v>
      </c>
      <c r="J111" s="103" t="str">
        <f>IF(ISERROR(VLOOKUP(School_Code&amp;"Hispanic/Latino",School_Data,109,FALSE)),"",(VLOOKUP(School_Code&amp;"Hispanic/Latino",School_Data,109,FALSE)))</f>
        <v>--</v>
      </c>
      <c r="K111" s="104" t="str">
        <f>IF(ISERROR(VLOOKUP(School_Code&amp;"Hispanic/Latino",School_Data,110,FALSE)),"",(VLOOKUP(School_Code&amp;"Hispanic/Latino",School_Data,110,FALSE)))</f>
        <v>--</v>
      </c>
      <c r="L111" s="361"/>
    </row>
    <row r="112" spans="2:12" s="3" customFormat="1" ht="15" customHeight="1">
      <c r="B112" s="99" t="s">
        <v>46</v>
      </c>
      <c r="C112" s="82" t="str">
        <f>IF(ISERROR(VLOOKUP(School_Code&amp;"Multi-race, Non-Hisp./Lat.",School_Data,102,FALSE)),"",(VLOOKUP(School_Code&amp;"Multi-race, Non-Hisp./Lat.",School_Data,102,FALSE)))</f>
        <v>--</v>
      </c>
      <c r="D112" s="103" t="str">
        <f>IF(ISERROR(VLOOKUP(School_Code&amp;"Multi-race, Non-Hisp./Lat.",School_Data,103,FALSE)),"",(VLOOKUP(School_Code&amp;"Multi-race, Non-Hisp./Lat.",School_Data,103,FALSE)))</f>
        <v>--</v>
      </c>
      <c r="E112" s="83" t="str">
        <f>IF(ISERROR(VLOOKUP(School_Code&amp;"Multi-race, Non-Hisp./Lat.",School_Data,104,FALSE)),"",(VLOOKUP(School_Code&amp;"Multi-race, Non-Hisp./Lat.",School_Data,104,FALSE)))</f>
        <v>--</v>
      </c>
      <c r="F112" s="103" t="str">
        <f>IF(ISERROR(VLOOKUP(School_Code&amp;"Multi-race, Non-Hisp./Lat.",School_Data,105,FALSE)),"",(VLOOKUP(School_Code&amp;"Multi-race, Non-Hisp./Lat.",School_Data,105,FALSE)))</f>
        <v>--</v>
      </c>
      <c r="G112" s="103" t="str">
        <f>IF(ISERROR(VLOOKUP(School_Code&amp;"Multi-race, Non-Hisp./Lat.",School_Data,106,FALSE)),"",(VLOOKUP(School_Code&amp;"Multi-race, Non-Hisp./Lat.",School_Data,106,FALSE)))</f>
        <v>--</v>
      </c>
      <c r="H112" s="103" t="str">
        <f>IF(ISERROR(VLOOKUP(School_Code&amp;"Multi-race, Non-Hisp./Lat.",School_Data,107,FALSE)),"",(VLOOKUP(School_Code&amp;"Multi-race, Non-Hisp./Lat.",School_Data,107,FALSE)))</f>
        <v>--</v>
      </c>
      <c r="I112" s="103" t="str">
        <f>IF(ISERROR(VLOOKUP(School_Code&amp;"Multi-race, Non-Hisp./Lat.",School_Data,108,FALSE)),"",(VLOOKUP(School_Code&amp;"Multi-race, Non-Hisp./Lat.",School_Data,108,FALSE)))</f>
        <v>--</v>
      </c>
      <c r="J112" s="103" t="str">
        <f>IF(ISERROR(VLOOKUP(School_Code&amp;"Multi-race, Non-Hisp./Lat.",School_Data,109,FALSE)),"",(VLOOKUP(School_Code&amp;"Multi-race, Non-Hisp./Lat.",School_Data,109,FALSE)))</f>
        <v>--</v>
      </c>
      <c r="K112" s="104" t="str">
        <f>IF(ISERROR(VLOOKUP(School_Code&amp;"Multi-race, Non-Hisp./Lat.",School_Data,110,FALSE)),"",(VLOOKUP(School_Code&amp;"Multi-race, Non-Hisp./Lat.",School_Data,110,FALSE)))</f>
        <v>--</v>
      </c>
      <c r="L112" s="361"/>
    </row>
    <row r="113" spans="2:12" s="3" customFormat="1" ht="15" customHeight="1">
      <c r="B113" s="99" t="s">
        <v>47</v>
      </c>
      <c r="C113" s="82" t="str">
        <f>IF(ISERROR(VLOOKUP(School_Code&amp;"Nat. Haw. or Pacif. Isl.",School_Data,102,FALSE)),"",(VLOOKUP(School_Code&amp;"Nat. Haw. or Pacif. Isl.",School_Data,102,FALSE)))</f>
        <v>--</v>
      </c>
      <c r="D113" s="103" t="str">
        <f>IF(ISERROR(VLOOKUP(School_Code&amp;"Nat. Haw. or Pacif. Isl.",School_Data,103,FALSE)),"",(VLOOKUP(School_Code&amp;"Nat. Haw. or Pacif. Isl.",School_Data,103,FALSE)))</f>
        <v>--</v>
      </c>
      <c r="E113" s="83" t="str">
        <f>IF(ISERROR(VLOOKUP(School_Code&amp;"Nat. Haw. or Pacif. Isl.",School_Data,104,FALSE)),"",(VLOOKUP(School_Code&amp;"Nat. Haw. or Pacif. Isl.",School_Data,104,FALSE)))</f>
        <v>--</v>
      </c>
      <c r="F113" s="103" t="str">
        <f>IF(ISERROR(VLOOKUP(School_Code&amp;"Nat. Haw. or Pacif. Isl.",School_Data,105,FALSE)),"",(VLOOKUP(School_Code&amp;"Nat. Haw. or Pacif. Isl.",School_Data,105,FALSE)))</f>
        <v>--</v>
      </c>
      <c r="G113" s="103" t="str">
        <f>IF(ISERROR(VLOOKUP(School_Code&amp;"Nat. Haw. or Pacif. Isl.",School_Data,106,FALSE)),"",(VLOOKUP(School_Code&amp;"Nat. Haw. or Pacif. Isl.",School_Data,106,FALSE)))</f>
        <v>--</v>
      </c>
      <c r="H113" s="103" t="str">
        <f>IF(ISERROR(VLOOKUP(School_Code&amp;"Nat. Haw. or Pacif. Isl.",School_Data,107,FALSE)),"",(VLOOKUP(School_Code&amp;"Nat. Haw. or Pacif. Isl.",School_Data,107,FALSE)))</f>
        <v>--</v>
      </c>
      <c r="I113" s="103" t="str">
        <f>IF(ISERROR(VLOOKUP(School_Code&amp;"Nat. Haw. or Pacif. Isl.",School_Data,108,FALSE)),"",(VLOOKUP(School_Code&amp;"Nat. Haw. or Pacif. Isl.",School_Data,108,FALSE)))</f>
        <v>--</v>
      </c>
      <c r="J113" s="103" t="str">
        <f>IF(ISERROR(VLOOKUP(School_Code&amp;"Nat. Haw. or Pacif. Isl.",School_Data,109,FALSE)),"",(VLOOKUP(School_Code&amp;"Nat. Haw. or Pacif. Isl.",School_Data,109,FALSE)))</f>
        <v>--</v>
      </c>
      <c r="K113" s="104" t="str">
        <f>IF(ISERROR(VLOOKUP(School_Code&amp;"Nat. Haw. or Pacif. Isl.",School_Data,110,FALSE)),"",(VLOOKUP(School_Code&amp;"Nat. Haw. or Pacif. Isl.",School_Data,110,FALSE)))</f>
        <v>--</v>
      </c>
      <c r="L113" s="361"/>
    </row>
    <row r="114" spans="2:12" s="3" customFormat="1" ht="15" customHeight="1">
      <c r="B114" s="110" t="s">
        <v>17</v>
      </c>
      <c r="C114" s="105" t="str">
        <f>IF(ISERROR(VLOOKUP(School_Code&amp;"White",School_Data,102,FALSE)),"",(VLOOKUP(School_Code&amp;"White",School_Data,102,FALSE)))</f>
        <v>--</v>
      </c>
      <c r="D114" s="106" t="str">
        <f>IF(ISERROR(VLOOKUP(School_Code&amp;"White",School_Data,103,FALSE)),"",(VLOOKUP(School_Code&amp;"White",School_Data,103,FALSE)))</f>
        <v>--</v>
      </c>
      <c r="E114" s="107" t="str">
        <f>IF(ISERROR(VLOOKUP(School_Code&amp;"White",School_Data,104,FALSE)),"",(VLOOKUP(School_Code&amp;"White",School_Data,104,FALSE)))</f>
        <v>--</v>
      </c>
      <c r="F114" s="106" t="str">
        <f>IF(ISERROR(VLOOKUP(School_Code&amp;"White",School_Data,105,FALSE)),"",(VLOOKUP(School_Code&amp;"White",School_Data,105,FALSE)))</f>
        <v>--</v>
      </c>
      <c r="G114" s="106">
        <f>IF(ISERROR(VLOOKUP(School_Code&amp;"White",School_Data,106,FALSE)),"",(VLOOKUP(School_Code&amp;"White",School_Data,106,FALSE)))</f>
        <v>0</v>
      </c>
      <c r="H114" s="106" t="str">
        <f>IF(ISERROR(VLOOKUP(School_Code&amp;"White",School_Data,107,FALSE)),"",(VLOOKUP(School_Code&amp;"White",School_Data,107,FALSE)))</f>
        <v>TBD</v>
      </c>
      <c r="I114" s="106" t="str">
        <f>IF(ISERROR(VLOOKUP(School_Code&amp;"White",School_Data,108,FALSE)),"",(VLOOKUP(School_Code&amp;"White",School_Data,108,FALSE)))</f>
        <v>TBD</v>
      </c>
      <c r="J114" s="106" t="str">
        <f>IF(ISERROR(VLOOKUP(School_Code&amp;"White",School_Data,109,FALSE)),"",(VLOOKUP(School_Code&amp;"White",School_Data,109,FALSE)))</f>
        <v>TBD</v>
      </c>
      <c r="K114" s="108" t="str">
        <f>IF(ISERROR(VLOOKUP(School_Code&amp;"White",School_Data,110,FALSE)),"",(VLOOKUP(School_Code&amp;"White",School_Data,110,FALSE)))</f>
        <v>TBD</v>
      </c>
      <c r="L114" s="362"/>
    </row>
    <row r="115" spans="2:12" s="3" customFormat="1" ht="38.25">
      <c r="B115" s="144" t="s">
        <v>353</v>
      </c>
      <c r="C115" s="299" t="str">
        <f>IF(ISERROR(VLOOKUP(School_Code&amp;"All students",School_Data,111,FALSE)),"",(VLOOKUP(School_Code&amp;"All students",School_Data,111,FALSE)))</f>
        <v>--</v>
      </c>
      <c r="D115" s="356" t="str">
        <f>IF(ISERROR(VLOOKUP(School_Code&amp;"All students",School_Data,112,FALSE)),"",(VLOOKUP(School_Code&amp;"All students",School_Data,112,FALSE)))</f>
        <v>--</v>
      </c>
      <c r="E115" s="364" t="str">
        <f>IF(ISERROR(VLOOKUP(School_Code&amp;"All students",School_Data,113,FALSE)),"",(VLOOKUP(School_Code&amp;"All students",School_Data,113,FALSE)))</f>
        <v>--</v>
      </c>
      <c r="F115" s="356" t="str">
        <f>IF(ISERROR(VLOOKUP(School_Code&amp;"All students",School_Data,114,FALSE)),"",(VLOOKUP(School_Code&amp;"All students",School_Data,114,FALSE)))</f>
        <v>--</v>
      </c>
      <c r="G115" s="356">
        <f>IF(ISERROR(VLOOKUP(School_Code&amp;"All students",School_Data,115,FALSE)),"",(VLOOKUP(School_Code&amp;"All students",School_Data,115,FALSE)))</f>
        <v>1.7</v>
      </c>
      <c r="H115" s="356" t="str">
        <f>IF(ISERROR(VLOOKUP(School_Code&amp;"All students",School_Data,116,FALSE)),"",(VLOOKUP(School_Code&amp;"All students",School_Data,116,FALSE)))</f>
        <v>TBD</v>
      </c>
      <c r="I115" s="356" t="str">
        <f>IF(ISERROR(VLOOKUP(School_Code&amp;"All students",School_Data,117,FALSE)),"",(VLOOKUP(School_Code&amp;"All students",School_Data,117,FALSE)))</f>
        <v>TBD</v>
      </c>
      <c r="J115" s="356" t="str">
        <f>IF(ISERROR(VLOOKUP(School_Code&amp;"All students",School_Data,118,FALSE)),"",(VLOOKUP(School_Code&amp;"All students",School_Data,118,FALSE)))</f>
        <v>TBD</v>
      </c>
      <c r="K115" s="366" t="str">
        <f>IF(ISERROR(VLOOKUP(School_Code&amp;"All students",School_Data,119,FALSE)),"",(VLOOKUP(School_Code&amp;"All students",School_Data,119,FALSE)))</f>
        <v>TBD</v>
      </c>
      <c r="L115" s="361" t="s">
        <v>319</v>
      </c>
    </row>
    <row r="116" spans="2:12" s="3" customFormat="1" ht="25.5" hidden="1">
      <c r="B116" s="98" t="s">
        <v>39</v>
      </c>
      <c r="C116" s="363"/>
      <c r="D116" s="357"/>
      <c r="E116" s="365"/>
      <c r="F116" s="357"/>
      <c r="G116" s="357"/>
      <c r="H116" s="357"/>
      <c r="I116" s="357"/>
      <c r="J116" s="357"/>
      <c r="K116" s="367"/>
      <c r="L116" s="361"/>
    </row>
    <row r="117" spans="2:12" s="3" customFormat="1" ht="15" customHeight="1">
      <c r="B117" s="99" t="s">
        <v>16</v>
      </c>
      <c r="C117" s="82" t="str">
        <f>IF(ISERROR(VLOOKUP(School_Code&amp;"High needs",School_Data,111,FALSE)),"",(VLOOKUP(School_Code&amp;"High needs",School_Data,111,FALSE)))</f>
        <v>--</v>
      </c>
      <c r="D117" s="103" t="str">
        <f>IF(ISERROR(VLOOKUP(School_Code&amp;"High needs",School_Data,112,FALSE)),"",(VLOOKUP(School_Code&amp;"High needs",School_Data,112,FALSE)))</f>
        <v>--</v>
      </c>
      <c r="E117" s="83" t="str">
        <f>IF(ISERROR(VLOOKUP(School_Code&amp;"High needs",School_Data,113,FALSE)),"",(VLOOKUP(School_Code&amp;"High needs",School_Data,113,FALSE)))</f>
        <v>--</v>
      </c>
      <c r="F117" s="103" t="str">
        <f>IF(ISERROR(VLOOKUP(School_Code&amp;"High needs",School_Data,114,FALSE)),"",(VLOOKUP(School_Code&amp;"High needs",School_Data,114,FALSE)))</f>
        <v>--</v>
      </c>
      <c r="G117" s="103">
        <f>IF(ISERROR(VLOOKUP(School_Code&amp;"High needs",School_Data,115,FALSE)),"",(VLOOKUP(School_Code&amp;"High needs",School_Data,115,FALSE)))</f>
        <v>1.9</v>
      </c>
      <c r="H117" s="103" t="str">
        <f>IF(ISERROR(VLOOKUP(School_Code&amp;"High needs",School_Data,116,FALSE)),"",(VLOOKUP(School_Code&amp;"High needs",School_Data,116,FALSE)))</f>
        <v>TBD</v>
      </c>
      <c r="I117" s="103" t="str">
        <f>IF(ISERROR(VLOOKUP(School_Code&amp;"High needs",School_Data,117,FALSE)),"",(VLOOKUP(School_Code&amp;"High needs",School_Data,117,FALSE)))</f>
        <v>TBD</v>
      </c>
      <c r="J117" s="103" t="str">
        <f>IF(ISERROR(VLOOKUP(School_Code&amp;"High needs",School_Data,118,FALSE)),"",(VLOOKUP(School_Code&amp;"High needs",School_Data,118,FALSE)))</f>
        <v>TBD</v>
      </c>
      <c r="K117" s="104" t="str">
        <f>IF(ISERROR(VLOOKUP(School_Code&amp;"High needs",School_Data,119,FALSE)),"",(VLOOKUP(School_Code&amp;"High needs",School_Data,119,FALSE)))</f>
        <v>TBD</v>
      </c>
      <c r="L117" s="361"/>
    </row>
    <row r="118" spans="2:12" s="3" customFormat="1" ht="15" customHeight="1">
      <c r="B118" s="99" t="s">
        <v>13</v>
      </c>
      <c r="C118" s="82" t="str">
        <f>IF(ISERROR(VLOOKUP(School_Code&amp;"Low income",School_Data,111,FALSE)),"",(VLOOKUP(School_Code&amp;"Low income",School_Data,111,FALSE)))</f>
        <v>--</v>
      </c>
      <c r="D118" s="103" t="str">
        <f>IF(ISERROR(VLOOKUP(School_Code&amp;"Low income",School_Data,112,FALSE)),"",(VLOOKUP(School_Code&amp;"Low income",School_Data,112,FALSE)))</f>
        <v>--</v>
      </c>
      <c r="E118" s="83" t="str">
        <f>IF(ISERROR(VLOOKUP(School_Code&amp;"Low income",School_Data,113,FALSE)),"",(VLOOKUP(School_Code&amp;"Low income",School_Data,113,FALSE)))</f>
        <v>--</v>
      </c>
      <c r="F118" s="103" t="str">
        <f>IF(ISERROR(VLOOKUP(School_Code&amp;"Low income",School_Data,114,FALSE)),"",(VLOOKUP(School_Code&amp;"Low income",School_Data,114,FALSE)))</f>
        <v>--</v>
      </c>
      <c r="G118" s="103">
        <f>IF(ISERROR(VLOOKUP(School_Code&amp;"Low income",School_Data,115,FALSE)),"",(VLOOKUP(School_Code&amp;"Low income",School_Data,115,FALSE)))</f>
        <v>2</v>
      </c>
      <c r="H118" s="103" t="str">
        <f>IF(ISERROR(VLOOKUP(School_Code&amp;"Low income",School_Data,116,FALSE)),"",(VLOOKUP(School_Code&amp;"Low income",School_Data,116,FALSE)))</f>
        <v>TBD</v>
      </c>
      <c r="I118" s="103" t="str">
        <f>IF(ISERROR(VLOOKUP(School_Code&amp;"Low income",School_Data,117,FALSE)),"",(VLOOKUP(School_Code&amp;"Low income",School_Data,117,FALSE)))</f>
        <v>TBD</v>
      </c>
      <c r="J118" s="103" t="str">
        <f>IF(ISERROR(VLOOKUP(School_Code&amp;"Low income",School_Data,118,FALSE)),"",(VLOOKUP(School_Code&amp;"Low income",School_Data,118,FALSE)))</f>
        <v>TBD</v>
      </c>
      <c r="K118" s="104" t="str">
        <f>IF(ISERROR(VLOOKUP(School_Code&amp;"Low income",School_Data,119,FALSE)),"",(VLOOKUP(School_Code&amp;"Low income",School_Data,119,FALSE)))</f>
        <v>TBD</v>
      </c>
      <c r="L118" s="361"/>
    </row>
    <row r="119" spans="2:12" s="3" customFormat="1" ht="15" customHeight="1">
      <c r="B119" s="99" t="s">
        <v>15</v>
      </c>
      <c r="C119" s="82" t="str">
        <f>IF(ISERROR(VLOOKUP(School_Code&amp;"ELL and Former ELL",School_Data,111,FALSE)),"",(VLOOKUP(School_Code&amp;"ELL and Former ELL",School_Data,111,FALSE)))</f>
        <v>--</v>
      </c>
      <c r="D119" s="103" t="str">
        <f>IF(ISERROR(VLOOKUP(School_Code&amp;"ELL and Former ELL",School_Data,112,FALSE)),"",(VLOOKUP(School_Code&amp;"ELL and Former ELL",School_Data,112,FALSE)))</f>
        <v>--</v>
      </c>
      <c r="E119" s="83" t="str">
        <f>IF(ISERROR(VLOOKUP(School_Code&amp;"ELL and Former ELL",School_Data,113,FALSE)),"",(VLOOKUP(School_Code&amp;"ELL and Former ELL",School_Data,113,FALSE)))</f>
        <v>--</v>
      </c>
      <c r="F119" s="103" t="str">
        <f>IF(ISERROR(VLOOKUP(School_Code&amp;"ELL and Former ELL",School_Data,114,FALSE)),"",(VLOOKUP(School_Code&amp;"ELL and Former ELL",School_Data,114,FALSE)))</f>
        <v>--</v>
      </c>
      <c r="G119" s="103" t="str">
        <f>IF(ISERROR(VLOOKUP(School_Code&amp;"ELL and Former ELL",School_Data,115,FALSE)),"",(VLOOKUP(School_Code&amp;"ELL and Former ELL",School_Data,115,FALSE)))</f>
        <v>--</v>
      </c>
      <c r="H119" s="103" t="str">
        <f>IF(ISERROR(VLOOKUP(School_Code&amp;"ELL and Former ELL",School_Data,116,FALSE)),"",(VLOOKUP(School_Code&amp;"ELL and Former ELL",School_Data,116,FALSE)))</f>
        <v>--</v>
      </c>
      <c r="I119" s="103" t="str">
        <f>IF(ISERROR(VLOOKUP(School_Code&amp;"ELL and Former ELL",School_Data,117,FALSE)),"",(VLOOKUP(School_Code&amp;"ELL and Former ELL",School_Data,117,FALSE)))</f>
        <v>--</v>
      </c>
      <c r="J119" s="103" t="str">
        <f>IF(ISERROR(VLOOKUP(School_Code&amp;"ELL and Former ELL",School_Data,118,FALSE)),"",(VLOOKUP(School_Code&amp;"ELL and Former ELL",School_Data,118,FALSE)))</f>
        <v>--</v>
      </c>
      <c r="K119" s="104" t="str">
        <f>IF(ISERROR(VLOOKUP(School_Code&amp;"ELL and Former ELL",School_Data,119,FALSE)),"",(VLOOKUP(School_Code&amp;"ELL and Former ELL",School_Data,119,FALSE)))</f>
        <v>--</v>
      </c>
      <c r="L119" s="361"/>
    </row>
    <row r="120" spans="2:12" s="3" customFormat="1" ht="15" customHeight="1">
      <c r="B120" s="99" t="s">
        <v>12</v>
      </c>
      <c r="C120" s="82" t="str">
        <f>IF(ISERROR(VLOOKUP(School_Code&amp;"Students w/disabilities",School_Data,111,FALSE)),"",(VLOOKUP(School_Code&amp;"Students w/disabilities",School_Data,111,FALSE)))</f>
        <v>--</v>
      </c>
      <c r="D120" s="103" t="str">
        <f>IF(ISERROR(VLOOKUP(School_Code&amp;"Students w/disabilities",School_Data,112,FALSE)),"",(VLOOKUP(School_Code&amp;"Students w/disabilities",School_Data,112,FALSE)))</f>
        <v>--</v>
      </c>
      <c r="E120" s="83" t="str">
        <f>IF(ISERROR(VLOOKUP(School_Code&amp;"Students w/disabilities",School_Data,113,FALSE)),"",(VLOOKUP(School_Code&amp;"Students w/disabilities",School_Data,113,FALSE)))</f>
        <v>--</v>
      </c>
      <c r="F120" s="103" t="str">
        <f>IF(ISERROR(VLOOKUP(School_Code&amp;"Students w/disabilities",School_Data,114,FALSE)),"",(VLOOKUP(School_Code&amp;"Students w/disabilities",School_Data,114,FALSE)))</f>
        <v>--</v>
      </c>
      <c r="G120" s="103">
        <f>IF(ISERROR(VLOOKUP(School_Code&amp;"Students w/disabilities",School_Data,115,FALSE)),"",(VLOOKUP(School_Code&amp;"Students w/disabilities",School_Data,115,FALSE)))</f>
        <v>0</v>
      </c>
      <c r="H120" s="103" t="str">
        <f>IF(ISERROR(VLOOKUP(School_Code&amp;"Students w/disabilities",School_Data,116,FALSE)),"",(VLOOKUP(School_Code&amp;"Students w/disabilities",School_Data,116,FALSE)))</f>
        <v>TBD</v>
      </c>
      <c r="I120" s="103" t="str">
        <f>IF(ISERROR(VLOOKUP(School_Code&amp;"Students w/disabilities",School_Data,117,FALSE)),"",(VLOOKUP(School_Code&amp;"Students w/disabilities",School_Data,117,FALSE)))</f>
        <v>TBD</v>
      </c>
      <c r="J120" s="103" t="str">
        <f>IF(ISERROR(VLOOKUP(School_Code&amp;"Students w/disabilities",School_Data,118,FALSE)),"",(VLOOKUP(School_Code&amp;"Students w/disabilities",School_Data,118,FALSE)))</f>
        <v>TBD</v>
      </c>
      <c r="K120" s="104" t="str">
        <f>IF(ISERROR(VLOOKUP(School_Code&amp;"Students w/disabilities",School_Data,119,FALSE)),"",(VLOOKUP(School_Code&amp;"Students w/disabilities",School_Data,119,FALSE)))</f>
        <v>TBD</v>
      </c>
      <c r="L120" s="361"/>
    </row>
    <row r="121" spans="2:12" s="3" customFormat="1" ht="15" customHeight="1">
      <c r="B121" s="99" t="s">
        <v>44</v>
      </c>
      <c r="C121" s="82" t="str">
        <f>IF(ISERROR(VLOOKUP(School_Code&amp;"Amer. Ind. or Alaska Nat.",School_Data,111,FALSE)),"",(VLOOKUP(School_Code&amp;"Amer. Ind. or Alaska Nat.",School_Data,111,FALSE)))</f>
        <v>--</v>
      </c>
      <c r="D121" s="103" t="str">
        <f>IF(ISERROR(VLOOKUP(School_Code&amp;"Amer. Ind. or Alaska Nat.",School_Data,112,FALSE)),"",(VLOOKUP(School_Code&amp;"Amer. Ind. or Alaska Nat.",School_Data,112,FALSE)))</f>
        <v>--</v>
      </c>
      <c r="E121" s="83" t="str">
        <f>IF(ISERROR(VLOOKUP(School_Code&amp;"Amer. Ind. or Alaska Nat.",School_Data,113,FALSE)),"",(VLOOKUP(School_Code&amp;"Amer. Ind. or Alaska Nat.",School_Data,113,FALSE)))</f>
        <v>--</v>
      </c>
      <c r="F121" s="103" t="str">
        <f>IF(ISERROR(VLOOKUP(School_Code&amp;"Amer. Ind. or Alaska Nat.",School_Data,114,FALSE)),"",(VLOOKUP(School_Code&amp;"Amer. Ind. or Alaska Nat.",School_Data,114,FALSE)))</f>
        <v>--</v>
      </c>
      <c r="G121" s="103" t="str">
        <f>IF(ISERROR(VLOOKUP(School_Code&amp;"Amer. Ind. or Alaska Nat.",School_Data,115,FALSE)),"",(VLOOKUP(School_Code&amp;"Amer. Ind. or Alaska Nat.",School_Data,115,FALSE)))</f>
        <v>--</v>
      </c>
      <c r="H121" s="103" t="str">
        <f>IF(ISERROR(VLOOKUP(School_Code&amp;"Amer. Ind. or Alaska Nat.",School_Data,116,FALSE)),"",(VLOOKUP(School_Code&amp;"Amer. Ind. or Alaska Nat.",School_Data,116,FALSE)))</f>
        <v>--</v>
      </c>
      <c r="I121" s="103" t="str">
        <f>IF(ISERROR(VLOOKUP(School_Code&amp;"Amer. Ind. or Alaska Nat.",School_Data,117,FALSE)),"",(VLOOKUP(School_Code&amp;"Amer. Ind. or Alaska Nat.",School_Data,117,FALSE)))</f>
        <v>--</v>
      </c>
      <c r="J121" s="103" t="str">
        <f>IF(ISERROR(VLOOKUP(School_Code&amp;"Amer. Ind. or Alaska Nat.",School_Data,118,FALSE)),"",(VLOOKUP(School_Code&amp;"Amer. Ind. or Alaska Nat.",School_Data,118,FALSE)))</f>
        <v>--</v>
      </c>
      <c r="K121" s="104" t="str">
        <f>IF(ISERROR(VLOOKUP(School_Code&amp;"Amer. Ind. or Alaska Nat.",School_Data,119,FALSE)),"",(VLOOKUP(School_Code&amp;"Amer. Ind. or Alaska Nat.",School_Data,119,FALSE)))</f>
        <v>--</v>
      </c>
      <c r="L121" s="361"/>
    </row>
    <row r="122" spans="2:12" s="3" customFormat="1" ht="15" customHeight="1">
      <c r="B122" s="99" t="s">
        <v>45</v>
      </c>
      <c r="C122" s="82" t="str">
        <f>IF(ISERROR(VLOOKUP(School_Code&amp;"Asian",School_Data,111,FALSE)),"",(VLOOKUP(School_Code&amp;"Asian",School_Data,111,FALSE)))</f>
        <v>--</v>
      </c>
      <c r="D122" s="103" t="str">
        <f>IF(ISERROR(VLOOKUP(School_Code&amp;"Asian",School_Data,112,FALSE)),"",(VLOOKUP(School_Code&amp;"Asian",School_Data,112,FALSE)))</f>
        <v>--</v>
      </c>
      <c r="E122" s="83" t="str">
        <f>IF(ISERROR(VLOOKUP(School_Code&amp;"Asian",School_Data,113,FALSE)),"",(VLOOKUP(School_Code&amp;"Asian",School_Data,113,FALSE)))</f>
        <v>--</v>
      </c>
      <c r="F122" s="103" t="str">
        <f>IF(ISERROR(VLOOKUP(School_Code&amp;"Asian",School_Data,114,FALSE)),"",(VLOOKUP(School_Code&amp;"Asian",School_Data,114,FALSE)))</f>
        <v>--</v>
      </c>
      <c r="G122" s="103" t="str">
        <f>IF(ISERROR(VLOOKUP(School_Code&amp;"Asian",School_Data,115,FALSE)),"",(VLOOKUP(School_Code&amp;"Asian",School_Data,115,FALSE)))</f>
        <v>--</v>
      </c>
      <c r="H122" s="103" t="str">
        <f>IF(ISERROR(VLOOKUP(School_Code&amp;"Asian",School_Data,116,FALSE)),"",(VLOOKUP(School_Code&amp;"Asian",School_Data,116,FALSE)))</f>
        <v>--</v>
      </c>
      <c r="I122" s="103" t="str">
        <f>IF(ISERROR(VLOOKUP(School_Code&amp;"Asian",School_Data,117,FALSE)),"",(VLOOKUP(School_Code&amp;"Asian",School_Data,117,FALSE)))</f>
        <v>--</v>
      </c>
      <c r="J122" s="103" t="str">
        <f>IF(ISERROR(VLOOKUP(School_Code&amp;"Asian",School_Data,118,FALSE)),"",(VLOOKUP(School_Code&amp;"Asian",School_Data,118,FALSE)))</f>
        <v>--</v>
      </c>
      <c r="K122" s="104" t="str">
        <f>IF(ISERROR(VLOOKUP(School_Code&amp;"Asian",School_Data,119,FALSE)),"",(VLOOKUP(School_Code&amp;"Asian",School_Data,119,FALSE)))</f>
        <v>--</v>
      </c>
      <c r="L122" s="361"/>
    </row>
    <row r="123" spans="2:12" s="3" customFormat="1" ht="15" customHeight="1">
      <c r="B123" s="99" t="s">
        <v>11</v>
      </c>
      <c r="C123" s="82" t="str">
        <f>IF(ISERROR(VLOOKUP(School_Code&amp;"Afr. Amer/Black",School_Data,111,FALSE)),"",(VLOOKUP(School_Code&amp;"Afr. Amer/Black",School_Data,111,FALSE)))</f>
        <v>--</v>
      </c>
      <c r="D123" s="103" t="str">
        <f>IF(ISERROR(VLOOKUP(School_Code&amp;"Afr. Amer/Black",School_Data,112,FALSE)),"",(VLOOKUP(School_Code&amp;"Afr. Amer/Black",School_Data,112,FALSE)))</f>
        <v>--</v>
      </c>
      <c r="E123" s="83" t="str">
        <f>IF(ISERROR(VLOOKUP(School_Code&amp;"Afr. Amer/Black",School_Data,113,FALSE)),"",(VLOOKUP(School_Code&amp;"Afr. Amer/Black",School_Data,113,FALSE)))</f>
        <v>--</v>
      </c>
      <c r="F123" s="103" t="str">
        <f>IF(ISERROR(VLOOKUP(School_Code&amp;"Afr. Amer/Black",School_Data,114,FALSE)),"",(VLOOKUP(School_Code&amp;"Afr. Amer/Black",School_Data,114,FALSE)))</f>
        <v>--</v>
      </c>
      <c r="G123" s="103">
        <f>IF(ISERROR(VLOOKUP(School_Code&amp;"Afr. Amer/Black",School_Data,115,FALSE)),"",(VLOOKUP(School_Code&amp;"Afr. Amer/Black",School_Data,115,FALSE)))</f>
        <v>0</v>
      </c>
      <c r="H123" s="103" t="str">
        <f>IF(ISERROR(VLOOKUP(School_Code&amp;"Afr. Amer/Black",School_Data,116,FALSE)),"",(VLOOKUP(School_Code&amp;"Afr. Amer/Black",School_Data,116,FALSE)))</f>
        <v>TBD</v>
      </c>
      <c r="I123" s="103" t="str">
        <f>IF(ISERROR(VLOOKUP(School_Code&amp;"Afr. Amer/Black",School_Data,117,FALSE)),"",(VLOOKUP(School_Code&amp;"Afr. Amer/Black",School_Data,117,FALSE)))</f>
        <v>TBD</v>
      </c>
      <c r="J123" s="103" t="str">
        <f>IF(ISERROR(VLOOKUP(School_Code&amp;"Afr. Amer/Black",School_Data,118,FALSE)),"",(VLOOKUP(School_Code&amp;"Afr. Amer/Black",School_Data,118,FALSE)))</f>
        <v>TBD</v>
      </c>
      <c r="K123" s="104" t="str">
        <f>IF(ISERROR(VLOOKUP(School_Code&amp;"Afr. Amer/Black",School_Data,119,FALSE)),"",(VLOOKUP(School_Code&amp;"Afr. Amer/Black",School_Data,119,FALSE)))</f>
        <v>TBD</v>
      </c>
      <c r="L123" s="361"/>
    </row>
    <row r="124" spans="2:12" s="3" customFormat="1" ht="15" customHeight="1">
      <c r="B124" s="99" t="s">
        <v>14</v>
      </c>
      <c r="C124" s="82" t="str">
        <f>IF(ISERROR(VLOOKUP(School_Code&amp;"Hispanic/Latino",School_Data,111,FALSE)),"",(VLOOKUP(School_Code&amp;"Hispanic/Latino",School_Data,111,FALSE)))</f>
        <v>--</v>
      </c>
      <c r="D124" s="103" t="str">
        <f>IF(ISERROR(VLOOKUP(School_Code&amp;"Hispanic/Latino",School_Data,112,FALSE)),"",(VLOOKUP(School_Code&amp;"Hispanic/Latino",School_Data,112,FALSE)))</f>
        <v>--</v>
      </c>
      <c r="E124" s="83" t="str">
        <f>IF(ISERROR(VLOOKUP(School_Code&amp;"Hispanic/Latino",School_Data,113,FALSE)),"",(VLOOKUP(School_Code&amp;"Hispanic/Latino",School_Data,113,FALSE)))</f>
        <v>--</v>
      </c>
      <c r="F124" s="103" t="str">
        <f>IF(ISERROR(VLOOKUP(School_Code&amp;"Hispanic/Latino",School_Data,114,FALSE)),"",(VLOOKUP(School_Code&amp;"Hispanic/Latino",School_Data,114,FALSE)))</f>
        <v>--</v>
      </c>
      <c r="G124" s="103">
        <f>IF(ISERROR(VLOOKUP(School_Code&amp;"Hispanic/Latino",School_Data,115,FALSE)),"",(VLOOKUP(School_Code&amp;"Hispanic/Latino",School_Data,115,FALSE)))</f>
        <v>0</v>
      </c>
      <c r="H124" s="103" t="str">
        <f>IF(ISERROR(VLOOKUP(School_Code&amp;"Hispanic/Latino",School_Data,116,FALSE)),"",(VLOOKUP(School_Code&amp;"Hispanic/Latino",School_Data,116,FALSE)))</f>
        <v>TBD</v>
      </c>
      <c r="I124" s="103" t="str">
        <f>IF(ISERROR(VLOOKUP(School_Code&amp;"Hispanic/Latino",School_Data,117,FALSE)),"",(VLOOKUP(School_Code&amp;"Hispanic/Latino",School_Data,117,FALSE)))</f>
        <v>TBD</v>
      </c>
      <c r="J124" s="103" t="str">
        <f>IF(ISERROR(VLOOKUP(School_Code&amp;"Hispanic/Latino",School_Data,118,FALSE)),"",(VLOOKUP(School_Code&amp;"Hispanic/Latino",School_Data,118,FALSE)))</f>
        <v>TBD</v>
      </c>
      <c r="K124" s="104" t="str">
        <f>IF(ISERROR(VLOOKUP(School_Code&amp;"Hispanic/Latino",School_Data,119,FALSE)),"",(VLOOKUP(School_Code&amp;"Hispanic/Latino",School_Data,119,FALSE)))</f>
        <v>TBD</v>
      </c>
      <c r="L124" s="361"/>
    </row>
    <row r="125" spans="2:12" s="3" customFormat="1" ht="15" customHeight="1">
      <c r="B125" s="99" t="s">
        <v>46</v>
      </c>
      <c r="C125" s="82" t="str">
        <f>IF(ISERROR(VLOOKUP(School_Code&amp;"Multi-race, Non-Hisp./Lat.",School_Data,111,FALSE)),"",(VLOOKUP(School_Code&amp;"Multi-race, Non-Hisp./Lat.",School_Data,111,FALSE)))</f>
        <v>--</v>
      </c>
      <c r="D125" s="103" t="str">
        <f>IF(ISERROR(VLOOKUP(School_Code&amp;"Multi-race, Non-Hisp./Lat.",School_Data,112,FALSE)),"",(VLOOKUP(School_Code&amp;"Multi-race, Non-Hisp./Lat.",School_Data,112,FALSE)))</f>
        <v>--</v>
      </c>
      <c r="E125" s="83" t="str">
        <f>IF(ISERROR(VLOOKUP(School_Code&amp;"Multi-race, Non-Hisp./Lat.",School_Data,113,FALSE)),"",(VLOOKUP(School_Code&amp;"Multi-race, Non-Hisp./Lat.",School_Data,113,FALSE)))</f>
        <v>--</v>
      </c>
      <c r="F125" s="103" t="str">
        <f>IF(ISERROR(VLOOKUP(School_Code&amp;"Multi-race, Non-Hisp./Lat.",School_Data,114,FALSE)),"",(VLOOKUP(School_Code&amp;"Multi-race, Non-Hisp./Lat.",School_Data,114,FALSE)))</f>
        <v>--</v>
      </c>
      <c r="G125" s="103" t="str">
        <f>IF(ISERROR(VLOOKUP(School_Code&amp;"Multi-race, Non-Hisp./Lat.",School_Data,115,FALSE)),"",(VLOOKUP(School_Code&amp;"Multi-race, Non-Hisp./Lat.",School_Data,115,FALSE)))</f>
        <v>--</v>
      </c>
      <c r="H125" s="103" t="str">
        <f>IF(ISERROR(VLOOKUP(School_Code&amp;"Multi-race, Non-Hisp./Lat.",School_Data,116,FALSE)),"",(VLOOKUP(School_Code&amp;"Multi-race, Non-Hisp./Lat.",School_Data,116,FALSE)))</f>
        <v>--</v>
      </c>
      <c r="I125" s="103" t="str">
        <f>IF(ISERROR(VLOOKUP(School_Code&amp;"Multi-race, Non-Hisp./Lat.",School_Data,117,FALSE)),"",(VLOOKUP(School_Code&amp;"Multi-race, Non-Hisp./Lat.",School_Data,117,FALSE)))</f>
        <v>--</v>
      </c>
      <c r="J125" s="103" t="str">
        <f>IF(ISERROR(VLOOKUP(School_Code&amp;"Multi-race, Non-Hisp./Lat.",School_Data,118,FALSE)),"",(VLOOKUP(School_Code&amp;"Multi-race, Non-Hisp./Lat.",School_Data,118,FALSE)))</f>
        <v>--</v>
      </c>
      <c r="K125" s="104" t="str">
        <f>IF(ISERROR(VLOOKUP(School_Code&amp;"Multi-race, Non-Hisp./Lat.",School_Data,119,FALSE)),"",(VLOOKUP(School_Code&amp;"Multi-race, Non-Hisp./Lat.",School_Data,119,FALSE)))</f>
        <v>--</v>
      </c>
      <c r="L125" s="361"/>
    </row>
    <row r="126" spans="2:12" s="3" customFormat="1" ht="15" customHeight="1">
      <c r="B126" s="99" t="s">
        <v>47</v>
      </c>
      <c r="C126" s="82" t="str">
        <f>IF(ISERROR(VLOOKUP(School_Code&amp;"Nat. Haw. or Pacif. Isl.",School_Data,111,FALSE)),"",(VLOOKUP(School_Code&amp;"Nat. Haw. or Pacif. Isl.",School_Data,111,FALSE)))</f>
        <v>--</v>
      </c>
      <c r="D126" s="103" t="str">
        <f>IF(ISERROR(VLOOKUP(School_Code&amp;"Nat. Haw. or Pacif. Isl.",School_Data,112,FALSE)),"",(VLOOKUP(School_Code&amp;"Nat. Haw. or Pacif. Isl.",School_Data,112,FALSE)))</f>
        <v>--</v>
      </c>
      <c r="E126" s="83" t="str">
        <f>IF(ISERROR(VLOOKUP(School_Code&amp;"Nat. Haw. or Pacif. Isl.",School_Data,113,FALSE)),"",(VLOOKUP(School_Code&amp;"Nat. Haw. or Pacif. Isl.",School_Data,113,FALSE)))</f>
        <v>--</v>
      </c>
      <c r="F126" s="103" t="str">
        <f>IF(ISERROR(VLOOKUP(School_Code&amp;"Nat. Haw. or Pacif. Isl.",School_Data,114,FALSE)),"",(VLOOKUP(School_Code&amp;"Nat. Haw. or Pacif. Isl.",School_Data,114,FALSE)))</f>
        <v>--</v>
      </c>
      <c r="G126" s="103" t="str">
        <f>IF(ISERROR(VLOOKUP(School_Code&amp;"Nat. Haw. or Pacif. Isl.",School_Data,115,FALSE)),"",(VLOOKUP(School_Code&amp;"Nat. Haw. or Pacif. Isl.",School_Data,115,FALSE)))</f>
        <v>--</v>
      </c>
      <c r="H126" s="103" t="str">
        <f>IF(ISERROR(VLOOKUP(School_Code&amp;"Nat. Haw. or Pacif. Isl.",School_Data,116,FALSE)),"",(VLOOKUP(School_Code&amp;"Nat. Haw. or Pacif. Isl.",School_Data,116,FALSE)))</f>
        <v>--</v>
      </c>
      <c r="I126" s="103" t="str">
        <f>IF(ISERROR(VLOOKUP(School_Code&amp;"Nat. Haw. or Pacif. Isl.",School_Data,117,FALSE)),"",(VLOOKUP(School_Code&amp;"Nat. Haw. or Pacif. Isl.",School_Data,117,FALSE)))</f>
        <v>--</v>
      </c>
      <c r="J126" s="103" t="str">
        <f>IF(ISERROR(VLOOKUP(School_Code&amp;"Nat. Haw. or Pacif. Isl.",School_Data,118,FALSE)),"",(VLOOKUP(School_Code&amp;"Nat. Haw. or Pacif. Isl.",School_Data,118,FALSE)))</f>
        <v>--</v>
      </c>
      <c r="K126" s="104" t="str">
        <f>IF(ISERROR(VLOOKUP(School_Code&amp;"Nat. Haw. or Pacif. Isl.",School_Data,119,FALSE)),"",(VLOOKUP(School_Code&amp;"Nat. Haw. or Pacif. Isl.",School_Data,119,FALSE)))</f>
        <v>--</v>
      </c>
      <c r="L126" s="361"/>
    </row>
    <row r="127" spans="2:12" s="3" customFormat="1" ht="15" customHeight="1">
      <c r="B127" s="102" t="s">
        <v>17</v>
      </c>
      <c r="C127" s="105" t="str">
        <f>IF(ISERROR(VLOOKUP(School_Code&amp;"White",School_Data,111,FALSE)),"",(VLOOKUP(School_Code&amp;"White",School_Data,111,FALSE)))</f>
        <v>--</v>
      </c>
      <c r="D127" s="106" t="str">
        <f>IF(ISERROR(VLOOKUP(School_Code&amp;"White",School_Data,112,FALSE)),"",(VLOOKUP(School_Code&amp;"White",School_Data,112,FALSE)))</f>
        <v>--</v>
      </c>
      <c r="E127" s="107" t="str">
        <f>IF(ISERROR(VLOOKUP(School_Code&amp;"White",School_Data,113,FALSE)),"",(VLOOKUP(School_Code&amp;"White",School_Data,113,FALSE)))</f>
        <v>--</v>
      </c>
      <c r="F127" s="106" t="str">
        <f>IF(ISERROR(VLOOKUP(School_Code&amp;"White",School_Data,114,FALSE)),"",(VLOOKUP(School_Code&amp;"White",School_Data,114,FALSE)))</f>
        <v>--</v>
      </c>
      <c r="G127" s="106">
        <f>IF(ISERROR(VLOOKUP(School_Code&amp;"White",School_Data,115,FALSE)),"",(VLOOKUP(School_Code&amp;"White",School_Data,115,FALSE)))</f>
        <v>4.0999999999999996</v>
      </c>
      <c r="H127" s="106" t="str">
        <f>IF(ISERROR(VLOOKUP(School_Code&amp;"White",School_Data,116,FALSE)),"",(VLOOKUP(School_Code&amp;"White",School_Data,116,FALSE)))</f>
        <v>TBD</v>
      </c>
      <c r="I127" s="106" t="str">
        <f>IF(ISERROR(VLOOKUP(School_Code&amp;"White",School_Data,117,FALSE)),"",(VLOOKUP(School_Code&amp;"White",School_Data,117,FALSE)))</f>
        <v>TBD</v>
      </c>
      <c r="J127" s="106" t="str">
        <f>IF(ISERROR(VLOOKUP(School_Code&amp;"White",School_Data,118,FALSE)),"",(VLOOKUP(School_Code&amp;"White",School_Data,118,FALSE)))</f>
        <v>TBD</v>
      </c>
      <c r="K127" s="108" t="str">
        <f>IF(ISERROR(VLOOKUP(School_Code&amp;"White",School_Data,119,FALSE)),"",(VLOOKUP(School_Code&amp;"White",School_Data,119,FALSE)))</f>
        <v>TBD</v>
      </c>
      <c r="L127" s="362"/>
    </row>
    <row r="128" spans="2:12" s="3" customFormat="1" ht="38.25">
      <c r="B128" s="144" t="s">
        <v>354</v>
      </c>
      <c r="C128" s="299" t="str">
        <f>IF(ISERROR(VLOOKUP(School_Code&amp;"All students",School_Data,120,FALSE)),"",(VLOOKUP(School_Code&amp;"All students",School_Data,120,FALSE)))</f>
        <v>--</v>
      </c>
      <c r="D128" s="356" t="str">
        <f>IF(ISERROR(VLOOKUP(School_Code&amp;"All students",School_Data,121,FALSE)),"",(VLOOKUP(School_Code&amp;"All students",School_Data,121,FALSE)))</f>
        <v>--</v>
      </c>
      <c r="E128" s="364" t="str">
        <f>IF(ISERROR(VLOOKUP(School_Code&amp;"All students",School_Data,122,FALSE)),"",(VLOOKUP(School_Code&amp;"All students",School_Data,122,FALSE)))</f>
        <v>--</v>
      </c>
      <c r="F128" s="356" t="str">
        <f>IF(ISERROR(VLOOKUP(School_Code&amp;"All students",School_Data,123,FALSE)),"",(VLOOKUP(School_Code&amp;"All students",School_Data,123,FALSE)))</f>
        <v>--</v>
      </c>
      <c r="G128" s="356">
        <f>IF(ISERROR(VLOOKUP(School_Code&amp;"All students",School_Data,124,FALSE)),"",(VLOOKUP(School_Code&amp;"All students",School_Data,124,FALSE)))</f>
        <v>17.5</v>
      </c>
      <c r="H128" s="356" t="str">
        <f>IF(ISERROR(VLOOKUP(School_Code&amp;"All students",School_Data,125,FALSE)),"",(VLOOKUP(School_Code&amp;"All students",School_Data,125,FALSE)))</f>
        <v>TBD</v>
      </c>
      <c r="I128" s="356" t="str">
        <f>IF(ISERROR(VLOOKUP(School_Code&amp;"All students",School_Data,126,FALSE)),"",(VLOOKUP(School_Code&amp;"All students",School_Data,126,FALSE)))</f>
        <v>TBD</v>
      </c>
      <c r="J128" s="356" t="str">
        <f>IF(ISERROR(VLOOKUP(School_Code&amp;"All students",School_Data,127,FALSE)),"",(VLOOKUP(School_Code&amp;"All students",School_Data,127,FALSE)))</f>
        <v>TBD</v>
      </c>
      <c r="K128" s="366" t="str">
        <f>IF(ISERROR(VLOOKUP(School_Code&amp;"All students",School_Data,128,FALSE)),"",(VLOOKUP(School_Code&amp;"All students",School_Data,128,FALSE)))</f>
        <v>TBD</v>
      </c>
      <c r="L128" s="361" t="s">
        <v>319</v>
      </c>
    </row>
    <row r="129" spans="2:12" s="3" customFormat="1" ht="25.5" hidden="1">
      <c r="B129" s="98" t="s">
        <v>39</v>
      </c>
      <c r="C129" s="363"/>
      <c r="D129" s="357"/>
      <c r="E129" s="365"/>
      <c r="F129" s="357"/>
      <c r="G129" s="357"/>
      <c r="H129" s="357"/>
      <c r="I129" s="357"/>
      <c r="J129" s="357"/>
      <c r="K129" s="367"/>
      <c r="L129" s="361"/>
    </row>
    <row r="130" spans="2:12" s="3" customFormat="1" ht="15" customHeight="1">
      <c r="B130" s="99" t="s">
        <v>16</v>
      </c>
      <c r="C130" s="82" t="str">
        <f>IF(ISERROR(VLOOKUP(School_Code&amp;"High needs",School_Data,120,FALSE)),"",(VLOOKUP(School_Code&amp;"High needs",School_Data,120,FALSE)))</f>
        <v>--</v>
      </c>
      <c r="D130" s="103" t="str">
        <f>IF(ISERROR(VLOOKUP(School_Code&amp;"High needs",School_Data,121,FALSE)),"",(VLOOKUP(School_Code&amp;"High needs",School_Data,121,FALSE)))</f>
        <v>--</v>
      </c>
      <c r="E130" s="83" t="str">
        <f>IF(ISERROR(VLOOKUP(School_Code&amp;"High needs",School_Data,122,FALSE)),"",(VLOOKUP(School_Code&amp;"High needs",School_Data,122,FALSE)))</f>
        <v>--</v>
      </c>
      <c r="F130" s="103" t="str">
        <f>IF(ISERROR(VLOOKUP(School_Code&amp;"High needs",School_Data,123,FALSE)),"",(VLOOKUP(School_Code&amp;"High needs",School_Data,123,FALSE)))</f>
        <v>--</v>
      </c>
      <c r="G130" s="103">
        <f>IF(ISERROR(VLOOKUP(School_Code&amp;"High needs",School_Data,124,FALSE)),"",(VLOOKUP(School_Code&amp;"High needs",School_Data,124,FALSE)))</f>
        <v>16.2</v>
      </c>
      <c r="H130" s="103" t="str">
        <f>IF(ISERROR(VLOOKUP(School_Code&amp;"High needs",School_Data,125,FALSE)),"",(VLOOKUP(School_Code&amp;"High needs",School_Data,125,FALSE)))</f>
        <v>TBD</v>
      </c>
      <c r="I130" s="103" t="str">
        <f>IF(ISERROR(VLOOKUP(School_Code&amp;"High needs",School_Data,126,FALSE)),"",(VLOOKUP(School_Code&amp;"High needs",School_Data,126,FALSE)))</f>
        <v>TBD</v>
      </c>
      <c r="J130" s="103" t="str">
        <f>IF(ISERROR(VLOOKUP(School_Code&amp;"High needs",School_Data,127,FALSE)),"",(VLOOKUP(School_Code&amp;"High needs",School_Data,127,FALSE)))</f>
        <v>TBD</v>
      </c>
      <c r="K130" s="104" t="str">
        <f>IF(ISERROR(VLOOKUP(School_Code&amp;"High needs",School_Data,128,FALSE)),"",(VLOOKUP(School_Code&amp;"High needs",School_Data,128,FALSE)))</f>
        <v>TBD</v>
      </c>
      <c r="L130" s="361"/>
    </row>
    <row r="131" spans="2:12" s="3" customFormat="1" ht="15" customHeight="1">
      <c r="B131" s="99" t="s">
        <v>13</v>
      </c>
      <c r="C131" s="82" t="str">
        <f>IF(ISERROR(VLOOKUP(School_Code&amp;"Low income",School_Data,120,FALSE)),"",(VLOOKUP(School_Code&amp;"Low income",School_Data,120,FALSE)))</f>
        <v>--</v>
      </c>
      <c r="D131" s="103" t="str">
        <f>IF(ISERROR(VLOOKUP(School_Code&amp;"Low income",School_Data,121,FALSE)),"",(VLOOKUP(School_Code&amp;"Low income",School_Data,121,FALSE)))</f>
        <v>--</v>
      </c>
      <c r="E131" s="83" t="str">
        <f>IF(ISERROR(VLOOKUP(School_Code&amp;"Low income",School_Data,122,FALSE)),"",(VLOOKUP(School_Code&amp;"Low income",School_Data,122,FALSE)))</f>
        <v>--</v>
      </c>
      <c r="F131" s="103" t="str">
        <f>IF(ISERROR(VLOOKUP(School_Code&amp;"Low income",School_Data,123,FALSE)),"",(VLOOKUP(School_Code&amp;"Low income",School_Data,123,FALSE)))</f>
        <v>--</v>
      </c>
      <c r="G131" s="103">
        <f>IF(ISERROR(VLOOKUP(School_Code&amp;"Low income",School_Data,124,FALSE)),"",(VLOOKUP(School_Code&amp;"Low income",School_Data,124,FALSE)))</f>
        <v>17</v>
      </c>
      <c r="H131" s="103" t="str">
        <f>IF(ISERROR(VLOOKUP(School_Code&amp;"Low income",School_Data,125,FALSE)),"",(VLOOKUP(School_Code&amp;"Low income",School_Data,125,FALSE)))</f>
        <v>TBD</v>
      </c>
      <c r="I131" s="103" t="str">
        <f>IF(ISERROR(VLOOKUP(School_Code&amp;"Low income",School_Data,126,FALSE)),"",(VLOOKUP(School_Code&amp;"Low income",School_Data,126,FALSE)))</f>
        <v>TBD</v>
      </c>
      <c r="J131" s="103" t="str">
        <f>IF(ISERROR(VLOOKUP(School_Code&amp;"Low income",School_Data,127,FALSE)),"",(VLOOKUP(School_Code&amp;"Low income",School_Data,127,FALSE)))</f>
        <v>TBD</v>
      </c>
      <c r="K131" s="104" t="str">
        <f>IF(ISERROR(VLOOKUP(School_Code&amp;"Low income",School_Data,128,FALSE)),"",(VLOOKUP(School_Code&amp;"Low income",School_Data,128,FALSE)))</f>
        <v>TBD</v>
      </c>
      <c r="L131" s="361"/>
    </row>
    <row r="132" spans="2:12" s="3" customFormat="1" ht="15" customHeight="1">
      <c r="B132" s="99" t="s">
        <v>15</v>
      </c>
      <c r="C132" s="82" t="str">
        <f>IF(ISERROR(VLOOKUP(School_Code&amp;"ELL and Former ELL",School_Data,120,FALSE)),"",(VLOOKUP(School_Code&amp;"ELL and Former ELL",School_Data,120,FALSE)))</f>
        <v>--</v>
      </c>
      <c r="D132" s="103" t="str">
        <f>IF(ISERROR(VLOOKUP(School_Code&amp;"ELL and Former ELL",School_Data,121,FALSE)),"",(VLOOKUP(School_Code&amp;"ELL and Former ELL",School_Data,121,FALSE)))</f>
        <v>--</v>
      </c>
      <c r="E132" s="83" t="str">
        <f>IF(ISERROR(VLOOKUP(School_Code&amp;"ELL and Former ELL",School_Data,122,FALSE)),"",(VLOOKUP(School_Code&amp;"ELL and Former ELL",School_Data,122,FALSE)))</f>
        <v>--</v>
      </c>
      <c r="F132" s="103" t="str">
        <f>IF(ISERROR(VLOOKUP(School_Code&amp;"ELL and Former ELL",School_Data,123,FALSE)),"",(VLOOKUP(School_Code&amp;"ELL and Former ELL",School_Data,123,FALSE)))</f>
        <v>--</v>
      </c>
      <c r="G132" s="103" t="str">
        <f>IF(ISERROR(VLOOKUP(School_Code&amp;"ELL and Former ELL",School_Data,124,FALSE)),"",(VLOOKUP(School_Code&amp;"ELL and Former ELL",School_Data,124,FALSE)))</f>
        <v>--</v>
      </c>
      <c r="H132" s="103" t="str">
        <f>IF(ISERROR(VLOOKUP(School_Code&amp;"ELL and Former ELL",School_Data,125,FALSE)),"",(VLOOKUP(School_Code&amp;"ELL and Former ELL",School_Data,125,FALSE)))</f>
        <v>--</v>
      </c>
      <c r="I132" s="103" t="str">
        <f>IF(ISERROR(VLOOKUP(School_Code&amp;"ELL and Former ELL",School_Data,126,FALSE)),"",(VLOOKUP(School_Code&amp;"ELL and Former ELL",School_Data,126,FALSE)))</f>
        <v>--</v>
      </c>
      <c r="J132" s="103" t="str">
        <f>IF(ISERROR(VLOOKUP(School_Code&amp;"ELL and Former ELL",School_Data,127,FALSE)),"",(VLOOKUP(School_Code&amp;"ELL and Former ELL",School_Data,127,FALSE)))</f>
        <v>--</v>
      </c>
      <c r="K132" s="104" t="str">
        <f>IF(ISERROR(VLOOKUP(School_Code&amp;"ELL and Former ELL",School_Data,128,FALSE)),"",(VLOOKUP(School_Code&amp;"ELL and Former ELL",School_Data,128,FALSE)))</f>
        <v>--</v>
      </c>
      <c r="L132" s="361"/>
    </row>
    <row r="133" spans="2:12" s="3" customFormat="1" ht="15" customHeight="1">
      <c r="B133" s="99" t="s">
        <v>12</v>
      </c>
      <c r="C133" s="82" t="str">
        <f>IF(ISERROR(VLOOKUP(School_Code&amp;"Students w/disabilities",School_Data,120,FALSE)),"",(VLOOKUP(School_Code&amp;"Students w/disabilities",School_Data,120,FALSE)))</f>
        <v>--</v>
      </c>
      <c r="D133" s="103" t="str">
        <f>IF(ISERROR(VLOOKUP(School_Code&amp;"Students w/disabilities",School_Data,121,FALSE)),"",(VLOOKUP(School_Code&amp;"Students w/disabilities",School_Data,121,FALSE)))</f>
        <v>--</v>
      </c>
      <c r="E133" s="83" t="str">
        <f>IF(ISERROR(VLOOKUP(School_Code&amp;"Students w/disabilities",School_Data,122,FALSE)),"",(VLOOKUP(School_Code&amp;"Students w/disabilities",School_Data,122,FALSE)))</f>
        <v>--</v>
      </c>
      <c r="F133" s="103" t="str">
        <f>IF(ISERROR(VLOOKUP(School_Code&amp;"Students w/disabilities",School_Data,123,FALSE)),"",(VLOOKUP(School_Code&amp;"Students w/disabilities",School_Data,123,FALSE)))</f>
        <v>--</v>
      </c>
      <c r="G133" s="103">
        <f>IF(ISERROR(VLOOKUP(School_Code&amp;"Students w/disabilities",School_Data,124,FALSE)),"",(VLOOKUP(School_Code&amp;"Students w/disabilities",School_Data,124,FALSE)))</f>
        <v>3.4</v>
      </c>
      <c r="H133" s="103" t="str">
        <f>IF(ISERROR(VLOOKUP(School_Code&amp;"Students w/disabilities",School_Data,125,FALSE)),"",(VLOOKUP(School_Code&amp;"Students w/disabilities",School_Data,125,FALSE)))</f>
        <v>TBD</v>
      </c>
      <c r="I133" s="103" t="str">
        <f>IF(ISERROR(VLOOKUP(School_Code&amp;"Students w/disabilities",School_Data,126,FALSE)),"",(VLOOKUP(School_Code&amp;"Students w/disabilities",School_Data,126,FALSE)))</f>
        <v>TBD</v>
      </c>
      <c r="J133" s="103" t="str">
        <f>IF(ISERROR(VLOOKUP(School_Code&amp;"Students w/disabilities",School_Data,127,FALSE)),"",(VLOOKUP(School_Code&amp;"Students w/disabilities",School_Data,127,FALSE)))</f>
        <v>TBD</v>
      </c>
      <c r="K133" s="104" t="str">
        <f>IF(ISERROR(VLOOKUP(School_Code&amp;"Students w/disabilities",School_Data,128,FALSE)),"",(VLOOKUP(School_Code&amp;"Students w/disabilities",School_Data,128,FALSE)))</f>
        <v>TBD</v>
      </c>
      <c r="L133" s="361"/>
    </row>
    <row r="134" spans="2:12" s="3" customFormat="1" ht="15" customHeight="1">
      <c r="B134" s="99" t="s">
        <v>44</v>
      </c>
      <c r="C134" s="82" t="str">
        <f>IF(ISERROR(VLOOKUP(School_Code&amp;"Amer. Ind. or Alaska Nat.",School_Data,120,FALSE)),"",(VLOOKUP(School_Code&amp;"Amer. Ind. or Alaska Nat.",School_Data,120,FALSE)))</f>
        <v>--</v>
      </c>
      <c r="D134" s="103" t="str">
        <f>IF(ISERROR(VLOOKUP(School_Code&amp;"Amer. Ind. or Alaska Nat.",School_Data,121,FALSE)),"",(VLOOKUP(School_Code&amp;"Amer. Ind. or Alaska Nat.",School_Data,121,FALSE)))</f>
        <v>--</v>
      </c>
      <c r="E134" s="83" t="str">
        <f>IF(ISERROR(VLOOKUP(School_Code&amp;"Amer. Ind. or Alaska Nat.",School_Data,122,FALSE)),"",(VLOOKUP(School_Code&amp;"Amer. Ind. or Alaska Nat.",School_Data,122,FALSE)))</f>
        <v>--</v>
      </c>
      <c r="F134" s="103" t="str">
        <f>IF(ISERROR(VLOOKUP(School_Code&amp;"Amer. Ind. or Alaska Nat.",School_Data,123,FALSE)),"",(VLOOKUP(School_Code&amp;"Amer. Ind. or Alaska Nat.",School_Data,123,FALSE)))</f>
        <v>--</v>
      </c>
      <c r="G134" s="103" t="str">
        <f>IF(ISERROR(VLOOKUP(School_Code&amp;"Amer. Ind. or Alaska Nat.",School_Data,124,FALSE)),"",(VLOOKUP(School_Code&amp;"Amer. Ind. or Alaska Nat.",School_Data,124,FALSE)))</f>
        <v>--</v>
      </c>
      <c r="H134" s="103" t="str">
        <f>IF(ISERROR(VLOOKUP(School_Code&amp;"Amer. Ind. or Alaska Nat.",School_Data,125,FALSE)),"",(VLOOKUP(School_Code&amp;"Amer. Ind. or Alaska Nat.",School_Data,125,FALSE)))</f>
        <v>--</v>
      </c>
      <c r="I134" s="103" t="str">
        <f>IF(ISERROR(VLOOKUP(School_Code&amp;"Amer. Ind. or Alaska Nat.",School_Data,126,FALSE)),"",(VLOOKUP(School_Code&amp;"Amer. Ind. or Alaska Nat.",School_Data,126,FALSE)))</f>
        <v>--</v>
      </c>
      <c r="J134" s="103" t="str">
        <f>IF(ISERROR(VLOOKUP(School_Code&amp;"Amer. Ind. or Alaska Nat.",School_Data,127,FALSE)),"",(VLOOKUP(School_Code&amp;"Amer. Ind. or Alaska Nat.",School_Data,127,FALSE)))</f>
        <v>--</v>
      </c>
      <c r="K134" s="104" t="str">
        <f>IF(ISERROR(VLOOKUP(School_Code&amp;"Amer. Ind. or Alaska Nat.",School_Data,128,FALSE)),"",(VLOOKUP(School_Code&amp;"Amer. Ind. or Alaska Nat.",School_Data,128,FALSE)))</f>
        <v>--</v>
      </c>
      <c r="L134" s="361"/>
    </row>
    <row r="135" spans="2:12" s="3" customFormat="1" ht="15" customHeight="1">
      <c r="B135" s="99" t="s">
        <v>45</v>
      </c>
      <c r="C135" s="82" t="str">
        <f>IF(ISERROR(VLOOKUP(School_Code&amp;"Asian",School_Data,120,FALSE)),"",(VLOOKUP(School_Code&amp;"Asian",School_Data,120,FALSE)))</f>
        <v>--</v>
      </c>
      <c r="D135" s="103" t="str">
        <f>IF(ISERROR(VLOOKUP(School_Code&amp;"Asian",School_Data,121,FALSE)),"",(VLOOKUP(School_Code&amp;"Asian",School_Data,121,FALSE)))</f>
        <v>--</v>
      </c>
      <c r="E135" s="83" t="str">
        <f>IF(ISERROR(VLOOKUP(School_Code&amp;"Asian",School_Data,122,FALSE)),"",(VLOOKUP(School_Code&amp;"Asian",School_Data,122,FALSE)))</f>
        <v>--</v>
      </c>
      <c r="F135" s="103" t="str">
        <f>IF(ISERROR(VLOOKUP(School_Code&amp;"Asian",School_Data,123,FALSE)),"",(VLOOKUP(School_Code&amp;"Asian",School_Data,123,FALSE)))</f>
        <v>--</v>
      </c>
      <c r="G135" s="103" t="str">
        <f>IF(ISERROR(VLOOKUP(School_Code&amp;"Asian",School_Data,124,FALSE)),"",(VLOOKUP(School_Code&amp;"Asian",School_Data,124,FALSE)))</f>
        <v>--</v>
      </c>
      <c r="H135" s="103" t="str">
        <f>IF(ISERROR(VLOOKUP(School_Code&amp;"Asian",School_Data,125,FALSE)),"",(VLOOKUP(School_Code&amp;"Asian",School_Data,125,FALSE)))</f>
        <v>--</v>
      </c>
      <c r="I135" s="103" t="str">
        <f>IF(ISERROR(VLOOKUP(School_Code&amp;"Asian",School_Data,126,FALSE)),"",(VLOOKUP(School_Code&amp;"Asian",School_Data,126,FALSE)))</f>
        <v>--</v>
      </c>
      <c r="J135" s="103" t="str">
        <f>IF(ISERROR(VLOOKUP(School_Code&amp;"Asian",School_Data,127,FALSE)),"",(VLOOKUP(School_Code&amp;"Asian",School_Data,127,FALSE)))</f>
        <v>--</v>
      </c>
      <c r="K135" s="104" t="str">
        <f>IF(ISERROR(VLOOKUP(School_Code&amp;"Asian",School_Data,128,FALSE)),"",(VLOOKUP(School_Code&amp;"Asian",School_Data,128,FALSE)))</f>
        <v>--</v>
      </c>
      <c r="L135" s="361"/>
    </row>
    <row r="136" spans="2:12" s="3" customFormat="1" ht="15" customHeight="1">
      <c r="B136" s="99" t="s">
        <v>11</v>
      </c>
      <c r="C136" s="82" t="str">
        <f>IF(ISERROR(VLOOKUP(School_Code&amp;"Afr. Amer/Black",School_Data,120,FALSE)),"",(VLOOKUP(School_Code&amp;"Afr. Amer/Black",School_Data,120,FALSE)))</f>
        <v>--</v>
      </c>
      <c r="D136" s="103" t="str">
        <f>IF(ISERROR(VLOOKUP(School_Code&amp;"Afr. Amer/Black",School_Data,121,FALSE)),"",(VLOOKUP(School_Code&amp;"Afr. Amer/Black",School_Data,121,FALSE)))</f>
        <v>--</v>
      </c>
      <c r="E136" s="83" t="str">
        <f>IF(ISERROR(VLOOKUP(School_Code&amp;"Afr. Amer/Black",School_Data,122,FALSE)),"",(VLOOKUP(School_Code&amp;"Afr. Amer/Black",School_Data,122,FALSE)))</f>
        <v>--</v>
      </c>
      <c r="F136" s="103" t="str">
        <f>IF(ISERROR(VLOOKUP(School_Code&amp;"Afr. Amer/Black",School_Data,123,FALSE)),"",(VLOOKUP(School_Code&amp;"Afr. Amer/Black",School_Data,123,FALSE)))</f>
        <v>--</v>
      </c>
      <c r="G136" s="103">
        <f>IF(ISERROR(VLOOKUP(School_Code&amp;"Afr. Amer/Black",School_Data,124,FALSE)),"",(VLOOKUP(School_Code&amp;"Afr. Amer/Black",School_Data,124,FALSE)))</f>
        <v>19</v>
      </c>
      <c r="H136" s="103" t="str">
        <f>IF(ISERROR(VLOOKUP(School_Code&amp;"Afr. Amer/Black",School_Data,125,FALSE)),"",(VLOOKUP(School_Code&amp;"Afr. Amer/Black",School_Data,125,FALSE)))</f>
        <v>TBD</v>
      </c>
      <c r="I136" s="103" t="str">
        <f>IF(ISERROR(VLOOKUP(School_Code&amp;"Afr. Amer/Black",School_Data,126,FALSE)),"",(VLOOKUP(School_Code&amp;"Afr. Amer/Black",School_Data,126,FALSE)))</f>
        <v>TBD</v>
      </c>
      <c r="J136" s="103" t="str">
        <f>IF(ISERROR(VLOOKUP(School_Code&amp;"Afr. Amer/Black",School_Data,127,FALSE)),"",(VLOOKUP(School_Code&amp;"Afr. Amer/Black",School_Data,127,FALSE)))</f>
        <v>TBD</v>
      </c>
      <c r="K136" s="104" t="str">
        <f>IF(ISERROR(VLOOKUP(School_Code&amp;"Afr. Amer/Black",School_Data,128,FALSE)),"",(VLOOKUP(School_Code&amp;"Afr. Amer/Black",School_Data,128,FALSE)))</f>
        <v>TBD</v>
      </c>
      <c r="L136" s="361"/>
    </row>
    <row r="137" spans="2:12" s="3" customFormat="1" ht="15" customHeight="1">
      <c r="B137" s="99" t="s">
        <v>14</v>
      </c>
      <c r="C137" s="82" t="str">
        <f>IF(ISERROR(VLOOKUP(School_Code&amp;"Hispanic/Latino",School_Data,120,FALSE)),"",(VLOOKUP(School_Code&amp;"Hispanic/Latino",School_Data,120,FALSE)))</f>
        <v>--</v>
      </c>
      <c r="D137" s="103" t="str">
        <f>IF(ISERROR(VLOOKUP(School_Code&amp;"Hispanic/Latino",School_Data,121,FALSE)),"",(VLOOKUP(School_Code&amp;"Hispanic/Latino",School_Data,121,FALSE)))</f>
        <v>--</v>
      </c>
      <c r="E137" s="83" t="str">
        <f>IF(ISERROR(VLOOKUP(School_Code&amp;"Hispanic/Latino",School_Data,122,FALSE)),"",(VLOOKUP(School_Code&amp;"Hispanic/Latino",School_Data,122,FALSE)))</f>
        <v>--</v>
      </c>
      <c r="F137" s="103" t="str">
        <f>IF(ISERROR(VLOOKUP(School_Code&amp;"Hispanic/Latino",School_Data,123,FALSE)),"",(VLOOKUP(School_Code&amp;"Hispanic/Latino",School_Data,123,FALSE)))</f>
        <v>--</v>
      </c>
      <c r="G137" s="103">
        <f>IF(ISERROR(VLOOKUP(School_Code&amp;"Hispanic/Latino",School_Data,124,FALSE)),"",(VLOOKUP(School_Code&amp;"Hispanic/Latino",School_Data,124,FALSE)))</f>
        <v>9.1</v>
      </c>
      <c r="H137" s="103" t="str">
        <f>IF(ISERROR(VLOOKUP(School_Code&amp;"Hispanic/Latino",School_Data,125,FALSE)),"",(VLOOKUP(School_Code&amp;"Hispanic/Latino",School_Data,125,FALSE)))</f>
        <v>TBD</v>
      </c>
      <c r="I137" s="103" t="str">
        <f>IF(ISERROR(VLOOKUP(School_Code&amp;"Hispanic/Latino",School_Data,126,FALSE)),"",(VLOOKUP(School_Code&amp;"Hispanic/Latino",School_Data,126,FALSE)))</f>
        <v>TBD</v>
      </c>
      <c r="J137" s="103" t="str">
        <f>IF(ISERROR(VLOOKUP(School_Code&amp;"Hispanic/Latino",School_Data,127,FALSE)),"",(VLOOKUP(School_Code&amp;"Hispanic/Latino",School_Data,127,FALSE)))</f>
        <v>TBD</v>
      </c>
      <c r="K137" s="104" t="str">
        <f>IF(ISERROR(VLOOKUP(School_Code&amp;"Hispanic/Latino",School_Data,128,FALSE)),"",(VLOOKUP(School_Code&amp;"Hispanic/Latino",School_Data,128,FALSE)))</f>
        <v>TBD</v>
      </c>
      <c r="L137" s="361"/>
    </row>
    <row r="138" spans="2:12" s="3" customFormat="1" ht="15" customHeight="1">
      <c r="B138" s="99" t="s">
        <v>46</v>
      </c>
      <c r="C138" s="82" t="str">
        <f>IF(ISERROR(VLOOKUP(School_Code&amp;"Multi-race, Non-Hisp./Lat.",School_Data,120,FALSE)),"",(VLOOKUP(School_Code&amp;"Multi-race, Non-Hisp./Lat.",School_Data,120,FALSE)))</f>
        <v>--</v>
      </c>
      <c r="D138" s="103" t="str">
        <f>IF(ISERROR(VLOOKUP(School_Code&amp;"Multi-race, Non-Hisp./Lat.",School_Data,121,FALSE)),"",(VLOOKUP(School_Code&amp;"Multi-race, Non-Hisp./Lat.",School_Data,121,FALSE)))</f>
        <v>--</v>
      </c>
      <c r="E138" s="83" t="str">
        <f>IF(ISERROR(VLOOKUP(School_Code&amp;"Multi-race, Non-Hisp./Lat.",School_Data,122,FALSE)),"",(VLOOKUP(School_Code&amp;"Multi-race, Non-Hisp./Lat.",School_Data,122,FALSE)))</f>
        <v>--</v>
      </c>
      <c r="F138" s="103" t="str">
        <f>IF(ISERROR(VLOOKUP(School_Code&amp;"Multi-race, Non-Hisp./Lat.",School_Data,123,FALSE)),"",(VLOOKUP(School_Code&amp;"Multi-race, Non-Hisp./Lat.",School_Data,123,FALSE)))</f>
        <v>--</v>
      </c>
      <c r="G138" s="103" t="str">
        <f>IF(ISERROR(VLOOKUP(School_Code&amp;"Multi-race, Non-Hisp./Lat.",School_Data,124,FALSE)),"",(VLOOKUP(School_Code&amp;"Multi-race, Non-Hisp./Lat.",School_Data,124,FALSE)))</f>
        <v>--</v>
      </c>
      <c r="H138" s="103" t="str">
        <f>IF(ISERROR(VLOOKUP(School_Code&amp;"Multi-race, Non-Hisp./Lat.",School_Data,125,FALSE)),"",(VLOOKUP(School_Code&amp;"Multi-race, Non-Hisp./Lat.",School_Data,125,FALSE)))</f>
        <v>--</v>
      </c>
      <c r="I138" s="103" t="str">
        <f>IF(ISERROR(VLOOKUP(School_Code&amp;"Multi-race, Non-Hisp./Lat.",School_Data,126,FALSE)),"",(VLOOKUP(School_Code&amp;"Multi-race, Non-Hisp./Lat.",School_Data,126,FALSE)))</f>
        <v>--</v>
      </c>
      <c r="J138" s="103" t="str">
        <f>IF(ISERROR(VLOOKUP(School_Code&amp;"Multi-race, Non-Hisp./Lat.",School_Data,127,FALSE)),"",(VLOOKUP(School_Code&amp;"Multi-race, Non-Hisp./Lat.",School_Data,127,FALSE)))</f>
        <v>--</v>
      </c>
      <c r="K138" s="104" t="str">
        <f>IF(ISERROR(VLOOKUP(School_Code&amp;"Multi-race, Non-Hisp./Lat.",School_Data,128,FALSE)),"",(VLOOKUP(School_Code&amp;"Multi-race, Non-Hisp./Lat.",School_Data,128,FALSE)))</f>
        <v>--</v>
      </c>
      <c r="L138" s="361"/>
    </row>
    <row r="139" spans="2:12" s="3" customFormat="1" ht="15" customHeight="1">
      <c r="B139" s="99" t="s">
        <v>47</v>
      </c>
      <c r="C139" s="82" t="str">
        <f>IF(ISERROR(VLOOKUP(School_Code&amp;"Nat. Haw. or Pacif. Isl.",School_Data,120,FALSE)),"",(VLOOKUP(School_Code&amp;"Nat. Haw. or Pacif. Isl.",School_Data,120,FALSE)))</f>
        <v>--</v>
      </c>
      <c r="D139" s="103" t="str">
        <f>IF(ISERROR(VLOOKUP(School_Code&amp;"Nat. Haw. or Pacif. Isl.",School_Data,121,FALSE)),"",(VLOOKUP(School_Code&amp;"Nat. Haw. or Pacif. Isl.",School_Data,121,FALSE)))</f>
        <v>--</v>
      </c>
      <c r="E139" s="83" t="str">
        <f>IF(ISERROR(VLOOKUP(School_Code&amp;"Nat. Haw. or Pacif. Isl.",School_Data,122,FALSE)),"",(VLOOKUP(School_Code&amp;"Nat. Haw. or Pacif. Isl.",School_Data,122,FALSE)))</f>
        <v>--</v>
      </c>
      <c r="F139" s="103" t="str">
        <f>IF(ISERROR(VLOOKUP(School_Code&amp;"Nat. Haw. or Pacif. Isl.",School_Data,123,FALSE)),"",(VLOOKUP(School_Code&amp;"Nat. Haw. or Pacif. Isl.",School_Data,123,FALSE)))</f>
        <v>--</v>
      </c>
      <c r="G139" s="103" t="str">
        <f>IF(ISERROR(VLOOKUP(School_Code&amp;"Nat. Haw. or Pacif. Isl.",School_Data,124,FALSE)),"",(VLOOKUP(School_Code&amp;"Nat. Haw. or Pacif. Isl.",School_Data,124,FALSE)))</f>
        <v>--</v>
      </c>
      <c r="H139" s="103" t="str">
        <f>IF(ISERROR(VLOOKUP(School_Code&amp;"Nat. Haw. or Pacif. Isl.",School_Data,125,FALSE)),"",(VLOOKUP(School_Code&amp;"Nat. Haw. or Pacif. Isl.",School_Data,125,FALSE)))</f>
        <v>--</v>
      </c>
      <c r="I139" s="103" t="str">
        <f>IF(ISERROR(VLOOKUP(School_Code&amp;"Nat. Haw. or Pacif. Isl.",School_Data,126,FALSE)),"",(VLOOKUP(School_Code&amp;"Nat. Haw. or Pacif. Isl.",School_Data,126,FALSE)))</f>
        <v>--</v>
      </c>
      <c r="J139" s="103" t="str">
        <f>IF(ISERROR(VLOOKUP(School_Code&amp;"Nat. Haw. or Pacif. Isl.",School_Data,127,FALSE)),"",(VLOOKUP(School_Code&amp;"Nat. Haw. or Pacif. Isl.",School_Data,127,FALSE)))</f>
        <v>--</v>
      </c>
      <c r="K139" s="104" t="str">
        <f>IF(ISERROR(VLOOKUP(School_Code&amp;"Nat. Haw. or Pacif. Isl.",School_Data,128,FALSE)),"",(VLOOKUP(School_Code&amp;"Nat. Haw. or Pacif. Isl.",School_Data,128,FALSE)))</f>
        <v>--</v>
      </c>
      <c r="L139" s="361"/>
    </row>
    <row r="140" spans="2:12" s="3" customFormat="1" ht="15" customHeight="1">
      <c r="B140" s="110" t="s">
        <v>17</v>
      </c>
      <c r="C140" s="105" t="str">
        <f>IF(ISERROR(VLOOKUP(School_Code&amp;"White",School_Data,120,FALSE)),"",(VLOOKUP(School_Code&amp;"White",School_Data,120,FALSE)))</f>
        <v>--</v>
      </c>
      <c r="D140" s="106" t="str">
        <f>IF(ISERROR(VLOOKUP(School_Code&amp;"White",School_Data,121,FALSE)),"",(VLOOKUP(School_Code&amp;"White",School_Data,121,FALSE)))</f>
        <v>--</v>
      </c>
      <c r="E140" s="107" t="str">
        <f>IF(ISERROR(VLOOKUP(School_Code&amp;"White",School_Data,122,FALSE)),"",(VLOOKUP(School_Code&amp;"White",School_Data,122,FALSE)))</f>
        <v>--</v>
      </c>
      <c r="F140" s="106" t="str">
        <f>IF(ISERROR(VLOOKUP(School_Code&amp;"White",School_Data,123,FALSE)),"",(VLOOKUP(School_Code&amp;"White",School_Data,123,FALSE)))</f>
        <v>--</v>
      </c>
      <c r="G140" s="106">
        <f>IF(ISERROR(VLOOKUP(School_Code&amp;"White",School_Data,124,FALSE)),"",(VLOOKUP(School_Code&amp;"White",School_Data,124,FALSE)))</f>
        <v>20.8</v>
      </c>
      <c r="H140" s="106" t="str">
        <f>IF(ISERROR(VLOOKUP(School_Code&amp;"White",School_Data,125,FALSE)),"",(VLOOKUP(School_Code&amp;"White",School_Data,125,FALSE)))</f>
        <v>TBD</v>
      </c>
      <c r="I140" s="106" t="str">
        <f>IF(ISERROR(VLOOKUP(School_Code&amp;"White",School_Data,126,FALSE)),"",(VLOOKUP(School_Code&amp;"White",School_Data,126,FALSE)))</f>
        <v>TBD</v>
      </c>
      <c r="J140" s="106" t="str">
        <f>IF(ISERROR(VLOOKUP(School_Code&amp;"White",School_Data,127,FALSE)),"",(VLOOKUP(School_Code&amp;"White",School_Data,127,FALSE)))</f>
        <v>TBD</v>
      </c>
      <c r="K140" s="108" t="str">
        <f>IF(ISERROR(VLOOKUP(School_Code&amp;"White",School_Data,128,FALSE)),"",(VLOOKUP(School_Code&amp;"White",School_Data,128,FALSE)))</f>
        <v>TBD</v>
      </c>
      <c r="L140" s="362"/>
    </row>
    <row r="141" spans="2:12" s="3" customFormat="1" ht="38.25">
      <c r="B141" s="144" t="s">
        <v>355</v>
      </c>
      <c r="C141" s="299" t="str">
        <f>IF(ISERROR(VLOOKUP(School_Code&amp;"All students",School_Data,129,FALSE)),"",(VLOOKUP(School_Code&amp;"All students",School_Data,129,FALSE)))</f>
        <v>--</v>
      </c>
      <c r="D141" s="356" t="str">
        <f>IF(ISERROR(VLOOKUP(School_Code&amp;"All students",School_Data,130,FALSE)),"",(VLOOKUP(School_Code&amp;"All students",School_Data,130,FALSE)))</f>
        <v>--</v>
      </c>
      <c r="E141" s="364" t="str">
        <f>IF(ISERROR(VLOOKUP(School_Code&amp;"All students",School_Data,131,FALSE)),"",(VLOOKUP(School_Code&amp;"All students",School_Data,131,FALSE)))</f>
        <v>--</v>
      </c>
      <c r="F141" s="356" t="str">
        <f>IF(ISERROR(VLOOKUP(School_Code&amp;"All students",School_Data,132,FALSE)),"",(VLOOKUP(School_Code&amp;"All students",School_Data,132,FALSE)))</f>
        <v>--</v>
      </c>
      <c r="G141" s="356">
        <f>IF(ISERROR(VLOOKUP(School_Code&amp;"All students",School_Data,133,FALSE)),"",(VLOOKUP(School_Code&amp;"All students",School_Data,133,FALSE)))</f>
        <v>7.9</v>
      </c>
      <c r="H141" s="356" t="str">
        <f>IF(ISERROR(VLOOKUP(School_Code&amp;"All students",School_Data,134,FALSE)),"",(VLOOKUP(School_Code&amp;"All students",School_Data,134,FALSE)))</f>
        <v>TBD</v>
      </c>
      <c r="I141" s="356" t="str">
        <f>IF(ISERROR(VLOOKUP(School_Code&amp;"All students",School_Data,135,FALSE)),"",(VLOOKUP(School_Code&amp;"All students",School_Data,135,FALSE)))</f>
        <v>TBD</v>
      </c>
      <c r="J141" s="356" t="str">
        <f>IF(ISERROR(VLOOKUP(School_Code&amp;"All students",School_Data,136,FALSE)),"",(VLOOKUP(School_Code&amp;"All students",School_Data,136,FALSE)))</f>
        <v>TBD</v>
      </c>
      <c r="K141" s="366" t="str">
        <f>IF(ISERROR(VLOOKUP(School_Code&amp;"All students",School_Data,137,FALSE)),"",(VLOOKUP(School_Code&amp;"All students",School_Data,137,FALSE)))</f>
        <v>TBD</v>
      </c>
      <c r="L141" s="361" t="s">
        <v>319</v>
      </c>
    </row>
    <row r="142" spans="2:12" s="3" customFormat="1" ht="25.5" hidden="1">
      <c r="B142" s="98" t="s">
        <v>39</v>
      </c>
      <c r="C142" s="363"/>
      <c r="D142" s="357"/>
      <c r="E142" s="365"/>
      <c r="F142" s="357"/>
      <c r="G142" s="357"/>
      <c r="H142" s="357"/>
      <c r="I142" s="357"/>
      <c r="J142" s="357"/>
      <c r="K142" s="367"/>
      <c r="L142" s="361"/>
    </row>
    <row r="143" spans="2:12" s="3" customFormat="1" ht="15" customHeight="1">
      <c r="B143" s="99" t="s">
        <v>16</v>
      </c>
      <c r="C143" s="82" t="str">
        <f>IF(ISERROR(VLOOKUP(School_Code&amp;"High needs",School_Data,129,FALSE)),"",(VLOOKUP(School_Code&amp;"High needs",School_Data,129,FALSE)))</f>
        <v>--</v>
      </c>
      <c r="D143" s="103" t="str">
        <f>IF(ISERROR(VLOOKUP(School_Code&amp;"High needs",School_Data,130,FALSE)),"",(VLOOKUP(School_Code&amp;"High needs",School_Data,130,FALSE)))</f>
        <v>--</v>
      </c>
      <c r="E143" s="83" t="str">
        <f>IF(ISERROR(VLOOKUP(School_Code&amp;"High needs",School_Data,131,FALSE)),"",(VLOOKUP(School_Code&amp;"High needs",School_Data,131,FALSE)))</f>
        <v>--</v>
      </c>
      <c r="F143" s="103" t="str">
        <f>IF(ISERROR(VLOOKUP(School_Code&amp;"High needs",School_Data,132,FALSE)),"",(VLOOKUP(School_Code&amp;"High needs",School_Data,132,FALSE)))</f>
        <v>--</v>
      </c>
      <c r="G143" s="103">
        <f>IF(ISERROR(VLOOKUP(School_Code&amp;"High needs",School_Data,133,FALSE)),"",(VLOOKUP(School_Code&amp;"High needs",School_Data,133,FALSE)))</f>
        <v>8.6</v>
      </c>
      <c r="H143" s="103" t="str">
        <f>IF(ISERROR(VLOOKUP(School_Code&amp;"High needs",School_Data,134,FALSE)),"",(VLOOKUP(School_Code&amp;"High needs",School_Data,134,FALSE)))</f>
        <v>TBD</v>
      </c>
      <c r="I143" s="103" t="str">
        <f>IF(ISERROR(VLOOKUP(School_Code&amp;"High needs",School_Data,135,FALSE)),"",(VLOOKUP(School_Code&amp;"High needs",School_Data,135,FALSE)))</f>
        <v>TBD</v>
      </c>
      <c r="J143" s="103" t="str">
        <f>IF(ISERROR(VLOOKUP(School_Code&amp;"High needs",School_Data,136,FALSE)),"",(VLOOKUP(School_Code&amp;"High needs",School_Data,136,FALSE)))</f>
        <v>TBD</v>
      </c>
      <c r="K143" s="104" t="str">
        <f>IF(ISERROR(VLOOKUP(School_Code&amp;"High needs",School_Data,137,FALSE)),"",(VLOOKUP(School_Code&amp;"High needs",School_Data,137,FALSE)))</f>
        <v>TBD</v>
      </c>
      <c r="L143" s="361"/>
    </row>
    <row r="144" spans="2:12" s="3" customFormat="1" ht="15" customHeight="1">
      <c r="B144" s="99" t="s">
        <v>13</v>
      </c>
      <c r="C144" s="82" t="str">
        <f>IF(ISERROR(VLOOKUP(School_Code&amp;"Low income",School_Data,129,FALSE)),"",(VLOOKUP(School_Code&amp;"Low income",School_Data,129,FALSE)))</f>
        <v>--</v>
      </c>
      <c r="D144" s="103" t="str">
        <f>IF(ISERROR(VLOOKUP(School_Code&amp;"Low income",School_Data,130,FALSE)),"",(VLOOKUP(School_Code&amp;"Low income",School_Data,130,FALSE)))</f>
        <v>--</v>
      </c>
      <c r="E144" s="83" t="str">
        <f>IF(ISERROR(VLOOKUP(School_Code&amp;"Low income",School_Data,131,FALSE)),"",(VLOOKUP(School_Code&amp;"Low income",School_Data,131,FALSE)))</f>
        <v>--</v>
      </c>
      <c r="F144" s="103" t="str">
        <f>IF(ISERROR(VLOOKUP(School_Code&amp;"Low income",School_Data,132,FALSE)),"",(VLOOKUP(School_Code&amp;"Low income",School_Data,132,FALSE)))</f>
        <v>--</v>
      </c>
      <c r="G144" s="103">
        <f>IF(ISERROR(VLOOKUP(School_Code&amp;"Low income",School_Data,133,FALSE)),"",(VLOOKUP(School_Code&amp;"Low income",School_Data,133,FALSE)))</f>
        <v>9.6999999999999993</v>
      </c>
      <c r="H144" s="103" t="str">
        <f>IF(ISERROR(VLOOKUP(School_Code&amp;"Low income",School_Data,134,FALSE)),"",(VLOOKUP(School_Code&amp;"Low income",School_Data,134,FALSE)))</f>
        <v>TBD</v>
      </c>
      <c r="I144" s="103" t="str">
        <f>IF(ISERROR(VLOOKUP(School_Code&amp;"Low income",School_Data,135,FALSE)),"",(VLOOKUP(School_Code&amp;"Low income",School_Data,135,FALSE)))</f>
        <v>TBD</v>
      </c>
      <c r="J144" s="103" t="str">
        <f>IF(ISERROR(VLOOKUP(School_Code&amp;"Low income",School_Data,136,FALSE)),"",(VLOOKUP(School_Code&amp;"Low income",School_Data,136,FALSE)))</f>
        <v>TBD</v>
      </c>
      <c r="K144" s="104" t="str">
        <f>IF(ISERROR(VLOOKUP(School_Code&amp;"Low income",School_Data,137,FALSE)),"",(VLOOKUP(School_Code&amp;"Low income",School_Data,137,FALSE)))</f>
        <v>TBD</v>
      </c>
      <c r="L144" s="361"/>
    </row>
    <row r="145" spans="2:12" s="3" customFormat="1" ht="15" customHeight="1">
      <c r="B145" s="99" t="s">
        <v>15</v>
      </c>
      <c r="C145" s="82" t="str">
        <f>IF(ISERROR(VLOOKUP(School_Code&amp;"ELL and Former ELL",School_Data,129,FALSE)),"",(VLOOKUP(School_Code&amp;"ELL and Former ELL",School_Data,129,FALSE)))</f>
        <v>--</v>
      </c>
      <c r="D145" s="103" t="str">
        <f>IF(ISERROR(VLOOKUP(School_Code&amp;"ELL and Former ELL",School_Data,130,FALSE)),"",(VLOOKUP(School_Code&amp;"ELL and Former ELL",School_Data,130,FALSE)))</f>
        <v>--</v>
      </c>
      <c r="E145" s="83" t="str">
        <f>IF(ISERROR(VLOOKUP(School_Code&amp;"ELL and Former ELL",School_Data,131,FALSE)),"",(VLOOKUP(School_Code&amp;"ELL and Former ELL",School_Data,131,FALSE)))</f>
        <v>--</v>
      </c>
      <c r="F145" s="103" t="str">
        <f>IF(ISERROR(VLOOKUP(School_Code&amp;"ELL and Former ELL",School_Data,132,FALSE)),"",(VLOOKUP(School_Code&amp;"ELL and Former ELL",School_Data,132,FALSE)))</f>
        <v>--</v>
      </c>
      <c r="G145" s="103" t="str">
        <f>IF(ISERROR(VLOOKUP(School_Code&amp;"ELL and Former ELL",School_Data,133,FALSE)),"",(VLOOKUP(School_Code&amp;"ELL and Former ELL",School_Data,133,FALSE)))</f>
        <v>--</v>
      </c>
      <c r="H145" s="103" t="str">
        <f>IF(ISERROR(VLOOKUP(School_Code&amp;"ELL and Former ELL",School_Data,134,FALSE)),"",(VLOOKUP(School_Code&amp;"ELL and Former ELL",School_Data,134,FALSE)))</f>
        <v>--</v>
      </c>
      <c r="I145" s="103" t="str">
        <f>IF(ISERROR(VLOOKUP(School_Code&amp;"ELL and Former ELL",School_Data,135,FALSE)),"",(VLOOKUP(School_Code&amp;"ELL and Former ELL",School_Data,135,FALSE)))</f>
        <v>--</v>
      </c>
      <c r="J145" s="103" t="str">
        <f>IF(ISERROR(VLOOKUP(School_Code&amp;"ELL and Former ELL",School_Data,136,FALSE)),"",(VLOOKUP(School_Code&amp;"ELL and Former ELL",School_Data,136,FALSE)))</f>
        <v>--</v>
      </c>
      <c r="K145" s="104" t="str">
        <f>IF(ISERROR(VLOOKUP(School_Code&amp;"ELL and Former ELL",School_Data,137,FALSE)),"",(VLOOKUP(School_Code&amp;"ELL and Former ELL",School_Data,137,FALSE)))</f>
        <v>--</v>
      </c>
      <c r="L145" s="361"/>
    </row>
    <row r="146" spans="2:12" s="3" customFormat="1" ht="15" customHeight="1">
      <c r="B146" s="99" t="s">
        <v>12</v>
      </c>
      <c r="C146" s="82" t="str">
        <f>IF(ISERROR(VLOOKUP(School_Code&amp;"Students w/disabilities",School_Data,129,FALSE)),"",(VLOOKUP(School_Code&amp;"Students w/disabilities",School_Data,129,FALSE)))</f>
        <v>--</v>
      </c>
      <c r="D146" s="103" t="str">
        <f>IF(ISERROR(VLOOKUP(School_Code&amp;"Students w/disabilities",School_Data,130,FALSE)),"",(VLOOKUP(School_Code&amp;"Students w/disabilities",School_Data,130,FALSE)))</f>
        <v>--</v>
      </c>
      <c r="E146" s="83" t="str">
        <f>IF(ISERROR(VLOOKUP(School_Code&amp;"Students w/disabilities",School_Data,131,FALSE)),"",(VLOOKUP(School_Code&amp;"Students w/disabilities",School_Data,131,FALSE)))</f>
        <v>--</v>
      </c>
      <c r="F146" s="103" t="str">
        <f>IF(ISERROR(VLOOKUP(School_Code&amp;"Students w/disabilities",School_Data,132,FALSE)),"",(VLOOKUP(School_Code&amp;"Students w/disabilities",School_Data,132,FALSE)))</f>
        <v>--</v>
      </c>
      <c r="G146" s="103" t="str">
        <f>IF(ISERROR(VLOOKUP(School_Code&amp;"Students w/disabilities",School_Data,133,FALSE)),"",(VLOOKUP(School_Code&amp;"Students w/disabilities",School_Data,133,FALSE)))</f>
        <v>--</v>
      </c>
      <c r="H146" s="103" t="str">
        <f>IF(ISERROR(VLOOKUP(School_Code&amp;"Students w/disabilities",School_Data,134,FALSE)),"",(VLOOKUP(School_Code&amp;"Students w/disabilities",School_Data,134,FALSE)))</f>
        <v>--</v>
      </c>
      <c r="I146" s="103" t="str">
        <f>IF(ISERROR(VLOOKUP(School_Code&amp;"Students w/disabilities",School_Data,135,FALSE)),"",(VLOOKUP(School_Code&amp;"Students w/disabilities",School_Data,135,FALSE)))</f>
        <v>--</v>
      </c>
      <c r="J146" s="103" t="str">
        <f>IF(ISERROR(VLOOKUP(School_Code&amp;"Students w/disabilities",School_Data,136,FALSE)),"",(VLOOKUP(School_Code&amp;"Students w/disabilities",School_Data,136,FALSE)))</f>
        <v>--</v>
      </c>
      <c r="K146" s="104" t="str">
        <f>IF(ISERROR(VLOOKUP(School_Code&amp;"Students w/disabilities",School_Data,137,FALSE)),"",(VLOOKUP(School_Code&amp;"Students w/disabilities",School_Data,137,FALSE)))</f>
        <v>--</v>
      </c>
      <c r="L146" s="361"/>
    </row>
    <row r="147" spans="2:12" s="3" customFormat="1" ht="15" customHeight="1">
      <c r="B147" s="99" t="s">
        <v>44</v>
      </c>
      <c r="C147" s="82" t="str">
        <f>IF(ISERROR(VLOOKUP(School_Code&amp;"Amer. Ind. or Alaska Nat.",School_Data,129,FALSE)),"",(VLOOKUP(School_Code&amp;"Amer. Ind. or Alaska Nat.",School_Data,129,FALSE)))</f>
        <v>--</v>
      </c>
      <c r="D147" s="103" t="str">
        <f>IF(ISERROR(VLOOKUP(School_Code&amp;"Amer. Ind. or Alaska Nat.",School_Data,130,FALSE)),"",(VLOOKUP(School_Code&amp;"Amer. Ind. or Alaska Nat.",School_Data,130,FALSE)))</f>
        <v>--</v>
      </c>
      <c r="E147" s="83" t="str">
        <f>IF(ISERROR(VLOOKUP(School_Code&amp;"Amer. Ind. or Alaska Nat.",School_Data,131,FALSE)),"",(VLOOKUP(School_Code&amp;"Amer. Ind. or Alaska Nat.",School_Data,131,FALSE)))</f>
        <v>--</v>
      </c>
      <c r="F147" s="103" t="str">
        <f>IF(ISERROR(VLOOKUP(School_Code&amp;"Amer. Ind. or Alaska Nat.",School_Data,132,FALSE)),"",(VLOOKUP(School_Code&amp;"Amer. Ind. or Alaska Nat.",School_Data,132,FALSE)))</f>
        <v>--</v>
      </c>
      <c r="G147" s="103" t="str">
        <f>IF(ISERROR(VLOOKUP(School_Code&amp;"Amer. Ind. or Alaska Nat.",School_Data,133,FALSE)),"",(VLOOKUP(School_Code&amp;"Amer. Ind. or Alaska Nat.",School_Data,133,FALSE)))</f>
        <v>--</v>
      </c>
      <c r="H147" s="103" t="str">
        <f>IF(ISERROR(VLOOKUP(School_Code&amp;"Amer. Ind. or Alaska Nat.",School_Data,134,FALSE)),"",(VLOOKUP(School_Code&amp;"Amer. Ind. or Alaska Nat.",School_Data,134,FALSE)))</f>
        <v>--</v>
      </c>
      <c r="I147" s="103" t="str">
        <f>IF(ISERROR(VLOOKUP(School_Code&amp;"Amer. Ind. or Alaska Nat.",School_Data,135,FALSE)),"",(VLOOKUP(School_Code&amp;"Amer. Ind. or Alaska Nat.",School_Data,135,FALSE)))</f>
        <v>--</v>
      </c>
      <c r="J147" s="103" t="str">
        <f>IF(ISERROR(VLOOKUP(School_Code&amp;"Amer. Ind. or Alaska Nat.",School_Data,136,FALSE)),"",(VLOOKUP(School_Code&amp;"Amer. Ind. or Alaska Nat.",School_Data,136,FALSE)))</f>
        <v>--</v>
      </c>
      <c r="K147" s="104" t="str">
        <f>IF(ISERROR(VLOOKUP(School_Code&amp;"Amer. Ind. or Alaska Nat.",School_Data,137,FALSE)),"",(VLOOKUP(School_Code&amp;"Amer. Ind. or Alaska Nat.",School_Data,137,FALSE)))</f>
        <v>--</v>
      </c>
      <c r="L147" s="361"/>
    </row>
    <row r="148" spans="2:12" s="3" customFormat="1" ht="15" customHeight="1">
      <c r="B148" s="99" t="s">
        <v>45</v>
      </c>
      <c r="C148" s="82" t="str">
        <f>IF(ISERROR(VLOOKUP(School_Code&amp;"Asian",School_Data,129,FALSE)),"",(VLOOKUP(School_Code&amp;"Asian",School_Data,129,FALSE)))</f>
        <v>--</v>
      </c>
      <c r="D148" s="103" t="str">
        <f>IF(ISERROR(VLOOKUP(School_Code&amp;"Asian",School_Data,130,FALSE)),"",(VLOOKUP(School_Code&amp;"Asian",School_Data,130,FALSE)))</f>
        <v>--</v>
      </c>
      <c r="E148" s="83" t="str">
        <f>IF(ISERROR(VLOOKUP(School_Code&amp;"Asian",School_Data,131,FALSE)),"",(VLOOKUP(School_Code&amp;"Asian",School_Data,131,FALSE)))</f>
        <v>--</v>
      </c>
      <c r="F148" s="103" t="str">
        <f>IF(ISERROR(VLOOKUP(School_Code&amp;"Asian",School_Data,132,FALSE)),"",(VLOOKUP(School_Code&amp;"Asian",School_Data,132,FALSE)))</f>
        <v>--</v>
      </c>
      <c r="G148" s="103" t="str">
        <f>IF(ISERROR(VLOOKUP(School_Code&amp;"Asian",School_Data,133,FALSE)),"",(VLOOKUP(School_Code&amp;"Asian",School_Data,133,FALSE)))</f>
        <v>--</v>
      </c>
      <c r="H148" s="103" t="str">
        <f>IF(ISERROR(VLOOKUP(School_Code&amp;"Asian",School_Data,134,FALSE)),"",(VLOOKUP(School_Code&amp;"Asian",School_Data,134,FALSE)))</f>
        <v>--</v>
      </c>
      <c r="I148" s="103" t="str">
        <f>IF(ISERROR(VLOOKUP(School_Code&amp;"Asian",School_Data,135,FALSE)),"",(VLOOKUP(School_Code&amp;"Asian",School_Data,135,FALSE)))</f>
        <v>--</v>
      </c>
      <c r="J148" s="103" t="str">
        <f>IF(ISERROR(VLOOKUP(School_Code&amp;"Asian",School_Data,136,FALSE)),"",(VLOOKUP(School_Code&amp;"Asian",School_Data,136,FALSE)))</f>
        <v>--</v>
      </c>
      <c r="K148" s="104" t="str">
        <f>IF(ISERROR(VLOOKUP(School_Code&amp;"Asian",School_Data,137,FALSE)),"",(VLOOKUP(School_Code&amp;"Asian",School_Data,137,FALSE)))</f>
        <v>--</v>
      </c>
      <c r="L148" s="361"/>
    </row>
    <row r="149" spans="2:12" s="3" customFormat="1" ht="15" customHeight="1">
      <c r="B149" s="99" t="s">
        <v>11</v>
      </c>
      <c r="C149" s="82" t="str">
        <f>IF(ISERROR(VLOOKUP(School_Code&amp;"Afr. Amer/Black",School_Data,129,FALSE)),"",(VLOOKUP(School_Code&amp;"Afr. Amer/Black",School_Data,129,FALSE)))</f>
        <v>--</v>
      </c>
      <c r="D149" s="103" t="str">
        <f>IF(ISERROR(VLOOKUP(School_Code&amp;"Afr. Amer/Black",School_Data,130,FALSE)),"",(VLOOKUP(School_Code&amp;"Afr. Amer/Black",School_Data,130,FALSE)))</f>
        <v>--</v>
      </c>
      <c r="E149" s="83" t="str">
        <f>IF(ISERROR(VLOOKUP(School_Code&amp;"Afr. Amer/Black",School_Data,131,FALSE)),"",(VLOOKUP(School_Code&amp;"Afr. Amer/Black",School_Data,131,FALSE)))</f>
        <v>--</v>
      </c>
      <c r="F149" s="103" t="str">
        <f>IF(ISERROR(VLOOKUP(School_Code&amp;"Afr. Amer/Black",School_Data,132,FALSE)),"",(VLOOKUP(School_Code&amp;"Afr. Amer/Black",School_Data,132,FALSE)))</f>
        <v>--</v>
      </c>
      <c r="G149" s="103" t="str">
        <f>IF(ISERROR(VLOOKUP(School_Code&amp;"Afr. Amer/Black",School_Data,133,FALSE)),"",(VLOOKUP(School_Code&amp;"Afr. Amer/Black",School_Data,133,FALSE)))</f>
        <v>--</v>
      </c>
      <c r="H149" s="103" t="str">
        <f>IF(ISERROR(VLOOKUP(School_Code&amp;"Afr. Amer/Black",School_Data,134,FALSE)),"",(VLOOKUP(School_Code&amp;"Afr. Amer/Black",School_Data,134,FALSE)))</f>
        <v>--</v>
      </c>
      <c r="I149" s="103" t="str">
        <f>IF(ISERROR(VLOOKUP(School_Code&amp;"Afr. Amer/Black",School_Data,135,FALSE)),"",(VLOOKUP(School_Code&amp;"Afr. Amer/Black",School_Data,135,FALSE)))</f>
        <v>--</v>
      </c>
      <c r="J149" s="103" t="str">
        <f>IF(ISERROR(VLOOKUP(School_Code&amp;"Afr. Amer/Black",School_Data,136,FALSE)),"",(VLOOKUP(School_Code&amp;"Afr. Amer/Black",School_Data,136,FALSE)))</f>
        <v>--</v>
      </c>
      <c r="K149" s="104" t="str">
        <f>IF(ISERROR(VLOOKUP(School_Code&amp;"Afr. Amer/Black",School_Data,137,FALSE)),"",(VLOOKUP(School_Code&amp;"Afr. Amer/Black",School_Data,137,FALSE)))</f>
        <v>--</v>
      </c>
      <c r="L149" s="361"/>
    </row>
    <row r="150" spans="2:12" s="3" customFormat="1" ht="15" customHeight="1">
      <c r="B150" s="99" t="s">
        <v>14</v>
      </c>
      <c r="C150" s="82" t="str">
        <f>IF(ISERROR(VLOOKUP(School_Code&amp;"Hispanic/Latino",School_Data,129,FALSE)),"",(VLOOKUP(School_Code&amp;"Hispanic/Latino",School_Data,129,FALSE)))</f>
        <v>--</v>
      </c>
      <c r="D150" s="103" t="str">
        <f>IF(ISERROR(VLOOKUP(School_Code&amp;"Hispanic/Latino",School_Data,130,FALSE)),"",(VLOOKUP(School_Code&amp;"Hispanic/Latino",School_Data,130,FALSE)))</f>
        <v>--</v>
      </c>
      <c r="E150" s="83" t="str">
        <f>IF(ISERROR(VLOOKUP(School_Code&amp;"Hispanic/Latino",School_Data,131,FALSE)),"",(VLOOKUP(School_Code&amp;"Hispanic/Latino",School_Data,131,FALSE)))</f>
        <v>--</v>
      </c>
      <c r="F150" s="103" t="str">
        <f>IF(ISERROR(VLOOKUP(School_Code&amp;"Hispanic/Latino",School_Data,132,FALSE)),"",(VLOOKUP(School_Code&amp;"Hispanic/Latino",School_Data,132,FALSE)))</f>
        <v>--</v>
      </c>
      <c r="G150" s="103" t="str">
        <f>IF(ISERROR(VLOOKUP(School_Code&amp;"Hispanic/Latino",School_Data,133,FALSE)),"",(VLOOKUP(School_Code&amp;"Hispanic/Latino",School_Data,133,FALSE)))</f>
        <v>--</v>
      </c>
      <c r="H150" s="103" t="str">
        <f>IF(ISERROR(VLOOKUP(School_Code&amp;"Hispanic/Latino",School_Data,134,FALSE)),"",(VLOOKUP(School_Code&amp;"Hispanic/Latino",School_Data,134,FALSE)))</f>
        <v>--</v>
      </c>
      <c r="I150" s="103" t="str">
        <f>IF(ISERROR(VLOOKUP(School_Code&amp;"Hispanic/Latino",School_Data,135,FALSE)),"",(VLOOKUP(School_Code&amp;"Hispanic/Latino",School_Data,135,FALSE)))</f>
        <v>--</v>
      </c>
      <c r="J150" s="103" t="str">
        <f>IF(ISERROR(VLOOKUP(School_Code&amp;"Hispanic/Latino",School_Data,136,FALSE)),"",(VLOOKUP(School_Code&amp;"Hispanic/Latino",School_Data,136,FALSE)))</f>
        <v>--</v>
      </c>
      <c r="K150" s="104" t="str">
        <f>IF(ISERROR(VLOOKUP(School_Code&amp;"Hispanic/Latino",School_Data,137,FALSE)),"",(VLOOKUP(School_Code&amp;"Hispanic/Latino",School_Data,137,FALSE)))</f>
        <v>--</v>
      </c>
      <c r="L150" s="361"/>
    </row>
    <row r="151" spans="2:12" s="3" customFormat="1" ht="15" customHeight="1">
      <c r="B151" s="99" t="s">
        <v>46</v>
      </c>
      <c r="C151" s="82" t="str">
        <f>IF(ISERROR(VLOOKUP(School_Code&amp;"Multi-race, Non-Hisp./Lat.",School_Data,129,FALSE)),"",(VLOOKUP(School_Code&amp;"Multi-race, Non-Hisp./Lat.",School_Data,129,FALSE)))</f>
        <v>--</v>
      </c>
      <c r="D151" s="103" t="str">
        <f>IF(ISERROR(VLOOKUP(School_Code&amp;"Multi-race, Non-Hisp./Lat.",School_Data,130,FALSE)),"",(VLOOKUP(School_Code&amp;"Multi-race, Non-Hisp./Lat.",School_Data,130,FALSE)))</f>
        <v>--</v>
      </c>
      <c r="E151" s="83" t="str">
        <f>IF(ISERROR(VLOOKUP(School_Code&amp;"Multi-race, Non-Hisp./Lat.",School_Data,131,FALSE)),"",(VLOOKUP(School_Code&amp;"Multi-race, Non-Hisp./Lat.",School_Data,131,FALSE)))</f>
        <v>--</v>
      </c>
      <c r="F151" s="103" t="str">
        <f>IF(ISERROR(VLOOKUP(School_Code&amp;"Multi-race, Non-Hisp./Lat.",School_Data,132,FALSE)),"",(VLOOKUP(School_Code&amp;"Multi-race, Non-Hisp./Lat.",School_Data,132,FALSE)))</f>
        <v>--</v>
      </c>
      <c r="G151" s="103" t="str">
        <f>IF(ISERROR(VLOOKUP(School_Code&amp;"Multi-race, Non-Hisp./Lat.",School_Data,133,FALSE)),"",(VLOOKUP(School_Code&amp;"Multi-race, Non-Hisp./Lat.",School_Data,133,FALSE)))</f>
        <v>--</v>
      </c>
      <c r="H151" s="103" t="str">
        <f>IF(ISERROR(VLOOKUP(School_Code&amp;"Multi-race, Non-Hisp./Lat.",School_Data,134,FALSE)),"",(VLOOKUP(School_Code&amp;"Multi-race, Non-Hisp./Lat.",School_Data,134,FALSE)))</f>
        <v>--</v>
      </c>
      <c r="I151" s="103" t="str">
        <f>IF(ISERROR(VLOOKUP(School_Code&amp;"Multi-race, Non-Hisp./Lat.",School_Data,135,FALSE)),"",(VLOOKUP(School_Code&amp;"Multi-race, Non-Hisp./Lat.",School_Data,135,FALSE)))</f>
        <v>--</v>
      </c>
      <c r="J151" s="103" t="str">
        <f>IF(ISERROR(VLOOKUP(School_Code&amp;"Multi-race, Non-Hisp./Lat.",School_Data,136,FALSE)),"",(VLOOKUP(School_Code&amp;"Multi-race, Non-Hisp./Lat.",School_Data,136,FALSE)))</f>
        <v>--</v>
      </c>
      <c r="K151" s="104" t="str">
        <f>IF(ISERROR(VLOOKUP(School_Code&amp;"Multi-race, Non-Hisp./Lat.",School_Data,137,FALSE)),"",(VLOOKUP(School_Code&amp;"Multi-race, Non-Hisp./Lat.",School_Data,137,FALSE)))</f>
        <v>--</v>
      </c>
      <c r="L151" s="361"/>
    </row>
    <row r="152" spans="2:12" s="3" customFormat="1" ht="15" customHeight="1">
      <c r="B152" s="99" t="s">
        <v>47</v>
      </c>
      <c r="C152" s="82" t="str">
        <f>IF(ISERROR(VLOOKUP(School_Code&amp;"Nat. Haw. or Pacif. Isl.",School_Data,129,FALSE)),"",(VLOOKUP(School_Code&amp;"Nat. Haw. or Pacif. Isl.",School_Data,129,FALSE)))</f>
        <v>--</v>
      </c>
      <c r="D152" s="103" t="str">
        <f>IF(ISERROR(VLOOKUP(School_Code&amp;"Nat. Haw. or Pacif. Isl.",School_Data,130,FALSE)),"",(VLOOKUP(School_Code&amp;"Nat. Haw. or Pacif. Isl.",School_Data,130,FALSE)))</f>
        <v>--</v>
      </c>
      <c r="E152" s="83" t="str">
        <f>IF(ISERROR(VLOOKUP(School_Code&amp;"Nat. Haw. or Pacif. Isl.",School_Data,131,FALSE)),"",(VLOOKUP(School_Code&amp;"Nat. Haw. or Pacif. Isl.",School_Data,131,FALSE)))</f>
        <v>--</v>
      </c>
      <c r="F152" s="103" t="str">
        <f>IF(ISERROR(VLOOKUP(School_Code&amp;"Nat. Haw. or Pacif. Isl.",School_Data,132,FALSE)),"",(VLOOKUP(School_Code&amp;"Nat. Haw. or Pacif. Isl.",School_Data,132,FALSE)))</f>
        <v>--</v>
      </c>
      <c r="G152" s="103" t="str">
        <f>IF(ISERROR(VLOOKUP(School_Code&amp;"Nat. Haw. or Pacif. Isl.",School_Data,133,FALSE)),"",(VLOOKUP(School_Code&amp;"Nat. Haw. or Pacif. Isl.",School_Data,133,FALSE)))</f>
        <v>--</v>
      </c>
      <c r="H152" s="103" t="str">
        <f>IF(ISERROR(VLOOKUP(School_Code&amp;"Nat. Haw. or Pacif. Isl.",School_Data,134,FALSE)),"",(VLOOKUP(School_Code&amp;"Nat. Haw. or Pacif. Isl.",School_Data,134,FALSE)))</f>
        <v>--</v>
      </c>
      <c r="I152" s="103" t="str">
        <f>IF(ISERROR(VLOOKUP(School_Code&amp;"Nat. Haw. or Pacif. Isl.",School_Data,135,FALSE)),"",(VLOOKUP(School_Code&amp;"Nat. Haw. or Pacif. Isl.",School_Data,135,FALSE)))</f>
        <v>--</v>
      </c>
      <c r="J152" s="103" t="str">
        <f>IF(ISERROR(VLOOKUP(School_Code&amp;"Nat. Haw. or Pacif. Isl.",School_Data,136,FALSE)),"",(VLOOKUP(School_Code&amp;"Nat. Haw. or Pacif. Isl.",School_Data,136,FALSE)))</f>
        <v>--</v>
      </c>
      <c r="K152" s="104" t="str">
        <f>IF(ISERROR(VLOOKUP(School_Code&amp;"Nat. Haw. or Pacif. Isl.",School_Data,137,FALSE)),"",(VLOOKUP(School_Code&amp;"Nat. Haw. or Pacif. Isl.",School_Data,137,FALSE)))</f>
        <v>--</v>
      </c>
      <c r="L152" s="361"/>
    </row>
    <row r="153" spans="2:12" s="3" customFormat="1" ht="15" customHeight="1">
      <c r="B153" s="110" t="s">
        <v>17</v>
      </c>
      <c r="C153" s="105" t="str">
        <f>IF(ISERROR(VLOOKUP(School_Code&amp;"White",School_Data,129,FALSE)),"",(VLOOKUP(School_Code&amp;"White",School_Data,129,FALSE)))</f>
        <v>--</v>
      </c>
      <c r="D153" s="106" t="str">
        <f>IF(ISERROR(VLOOKUP(School_Code&amp;"White",School_Data,130,FALSE)),"",(VLOOKUP(School_Code&amp;"White",School_Data,130,FALSE)))</f>
        <v>--</v>
      </c>
      <c r="E153" s="107" t="str">
        <f>IF(ISERROR(VLOOKUP(School_Code&amp;"White",School_Data,131,FALSE)),"",(VLOOKUP(School_Code&amp;"White",School_Data,131,FALSE)))</f>
        <v>--</v>
      </c>
      <c r="F153" s="106" t="str">
        <f>IF(ISERROR(VLOOKUP(School_Code&amp;"White",School_Data,132,FALSE)),"",(VLOOKUP(School_Code&amp;"White",School_Data,132,FALSE)))</f>
        <v>--</v>
      </c>
      <c r="G153" s="106">
        <f>IF(ISERROR(VLOOKUP(School_Code&amp;"White",School_Data,133,FALSE)),"",(VLOOKUP(School_Code&amp;"White",School_Data,133,FALSE)))</f>
        <v>0</v>
      </c>
      <c r="H153" s="106" t="str">
        <f>IF(ISERROR(VLOOKUP(School_Code&amp;"White",School_Data,134,FALSE)),"",(VLOOKUP(School_Code&amp;"White",School_Data,134,FALSE)))</f>
        <v>TBD</v>
      </c>
      <c r="I153" s="106" t="str">
        <f>IF(ISERROR(VLOOKUP(School_Code&amp;"White",School_Data,135,FALSE)),"",(VLOOKUP(School_Code&amp;"White",School_Data,135,FALSE)))</f>
        <v>TBD</v>
      </c>
      <c r="J153" s="106" t="str">
        <f>IF(ISERROR(VLOOKUP(School_Code&amp;"White",School_Data,136,FALSE)),"",(VLOOKUP(School_Code&amp;"White",School_Data,136,FALSE)))</f>
        <v>TBD</v>
      </c>
      <c r="K153" s="108" t="str">
        <f>IF(ISERROR(VLOOKUP(School_Code&amp;"White",School_Data,137,FALSE)),"",(VLOOKUP(School_Code&amp;"White",School_Data,137,FALSE)))</f>
        <v>TBD</v>
      </c>
      <c r="L153" s="362"/>
    </row>
    <row r="154" spans="2:12" s="17" customFormat="1" hidden="1">
      <c r="B154" s="358" t="s">
        <v>56</v>
      </c>
      <c r="C154" s="359"/>
      <c r="D154" s="359"/>
      <c r="E154" s="359"/>
      <c r="F154" s="359"/>
      <c r="G154" s="359"/>
      <c r="H154" s="359"/>
      <c r="I154" s="359"/>
      <c r="J154" s="359"/>
      <c r="K154" s="359"/>
      <c r="L154" s="360"/>
    </row>
    <row r="155" spans="2:12" ht="50.1" hidden="1" customHeight="1">
      <c r="B155" s="35"/>
      <c r="C155" s="45"/>
      <c r="D155" s="9"/>
      <c r="E155" s="46"/>
      <c r="F155" s="9"/>
      <c r="G155" s="46"/>
      <c r="H155" s="9"/>
      <c r="I155" s="9"/>
      <c r="J155" s="9"/>
      <c r="K155" s="54"/>
      <c r="L155" s="47"/>
    </row>
    <row r="156" spans="2:12" ht="50.1" hidden="1" customHeight="1">
      <c r="B156" s="36"/>
      <c r="C156" s="41"/>
      <c r="D156" s="7"/>
      <c r="E156" s="43"/>
      <c r="F156" s="7"/>
      <c r="G156" s="43"/>
      <c r="H156" s="7"/>
      <c r="I156" s="7"/>
      <c r="J156" s="7"/>
      <c r="K156" s="51"/>
      <c r="L156" s="48"/>
    </row>
    <row r="157" spans="2:12" ht="50.1" hidden="1" customHeight="1">
      <c r="B157" s="37"/>
      <c r="C157" s="42"/>
      <c r="D157" s="8"/>
      <c r="E157" s="44"/>
      <c r="F157" s="8"/>
      <c r="G157" s="44"/>
      <c r="H157" s="8"/>
      <c r="I157" s="8"/>
      <c r="J157" s="8"/>
      <c r="K157" s="52"/>
      <c r="L157" s="49"/>
    </row>
  </sheetData>
  <sheetProtection password="CC18" sheet="1" objects="1" scenarios="1" selectLockedCells="1"/>
  <mergeCells count="117">
    <mergeCell ref="D49:D50"/>
    <mergeCell ref="L62:L74"/>
    <mergeCell ref="E49:E50"/>
    <mergeCell ref="E36:E37"/>
    <mergeCell ref="E23:E24"/>
    <mergeCell ref="E62:E63"/>
    <mergeCell ref="J62:J63"/>
    <mergeCell ref="I62:I63"/>
    <mergeCell ref="H62:H63"/>
    <mergeCell ref="F62:F63"/>
    <mergeCell ref="J49:J50"/>
    <mergeCell ref="I49:I50"/>
    <mergeCell ref="G62:G63"/>
    <mergeCell ref="K23:K24"/>
    <mergeCell ref="K36:K37"/>
    <mergeCell ref="K49:K50"/>
    <mergeCell ref="K62:K63"/>
    <mergeCell ref="H49:H50"/>
    <mergeCell ref="F49:F50"/>
    <mergeCell ref="B2:B3"/>
    <mergeCell ref="B5:L5"/>
    <mergeCell ref="B9:L9"/>
    <mergeCell ref="J10:J11"/>
    <mergeCell ref="L7:L8"/>
    <mergeCell ref="B7:B8"/>
    <mergeCell ref="L10:L22"/>
    <mergeCell ref="E10:E11"/>
    <mergeCell ref="I10:I11"/>
    <mergeCell ref="H10:H11"/>
    <mergeCell ref="F10:F11"/>
    <mergeCell ref="D10:D11"/>
    <mergeCell ref="C10:C11"/>
    <mergeCell ref="G10:G11"/>
    <mergeCell ref="C7:K7"/>
    <mergeCell ref="K10:K11"/>
    <mergeCell ref="J102:J103"/>
    <mergeCell ref="K102:K103"/>
    <mergeCell ref="L102:L114"/>
    <mergeCell ref="C23:C24"/>
    <mergeCell ref="C36:C37"/>
    <mergeCell ref="C49:C50"/>
    <mergeCell ref="G23:G24"/>
    <mergeCell ref="G36:G37"/>
    <mergeCell ref="G49:G50"/>
    <mergeCell ref="J23:J24"/>
    <mergeCell ref="I23:I24"/>
    <mergeCell ref="H23:H24"/>
    <mergeCell ref="F23:F24"/>
    <mergeCell ref="D23:D24"/>
    <mergeCell ref="J36:J37"/>
    <mergeCell ref="I36:I37"/>
    <mergeCell ref="H36:H37"/>
    <mergeCell ref="F36:F37"/>
    <mergeCell ref="D36:D37"/>
    <mergeCell ref="D62:D63"/>
    <mergeCell ref="C62:C63"/>
    <mergeCell ref="L23:L35"/>
    <mergeCell ref="L36:L48"/>
    <mergeCell ref="L49:L61"/>
    <mergeCell ref="I76:I77"/>
    <mergeCell ref="J76:J77"/>
    <mergeCell ref="L76:L88"/>
    <mergeCell ref="C76:C77"/>
    <mergeCell ref="D76:D77"/>
    <mergeCell ref="E76:E77"/>
    <mergeCell ref="F76:F77"/>
    <mergeCell ref="H76:H77"/>
    <mergeCell ref="K76:K77"/>
    <mergeCell ref="G76:G77"/>
    <mergeCell ref="I89:I90"/>
    <mergeCell ref="J89:J90"/>
    <mergeCell ref="L89:L101"/>
    <mergeCell ref="C115:C116"/>
    <mergeCell ref="D115:D116"/>
    <mergeCell ref="E115:E116"/>
    <mergeCell ref="F115:F116"/>
    <mergeCell ref="H115:H116"/>
    <mergeCell ref="C89:C90"/>
    <mergeCell ref="D89:D90"/>
    <mergeCell ref="E89:E90"/>
    <mergeCell ref="F89:F90"/>
    <mergeCell ref="H89:H90"/>
    <mergeCell ref="K89:K90"/>
    <mergeCell ref="K115:K116"/>
    <mergeCell ref="G89:G90"/>
    <mergeCell ref="G115:G116"/>
    <mergeCell ref="C102:C103"/>
    <mergeCell ref="D102:D103"/>
    <mergeCell ref="E102:E103"/>
    <mergeCell ref="F102:F103"/>
    <mergeCell ref="G102:G103"/>
    <mergeCell ref="H102:H103"/>
    <mergeCell ref="I102:I103"/>
    <mergeCell ref="F141:F142"/>
    <mergeCell ref="G141:G142"/>
    <mergeCell ref="H141:H142"/>
    <mergeCell ref="I141:I142"/>
    <mergeCell ref="J141:J142"/>
    <mergeCell ref="B154:L154"/>
    <mergeCell ref="I115:I116"/>
    <mergeCell ref="J115:J116"/>
    <mergeCell ref="L115:L127"/>
    <mergeCell ref="C128:C129"/>
    <mergeCell ref="D128:D129"/>
    <mergeCell ref="E128:E129"/>
    <mergeCell ref="F128:F129"/>
    <mergeCell ref="H128:H129"/>
    <mergeCell ref="I128:I129"/>
    <mergeCell ref="J128:J129"/>
    <mergeCell ref="L128:L140"/>
    <mergeCell ref="K128:K129"/>
    <mergeCell ref="C141:C142"/>
    <mergeCell ref="D141:D142"/>
    <mergeCell ref="E141:E142"/>
    <mergeCell ref="G128:G129"/>
    <mergeCell ref="K141:K142"/>
    <mergeCell ref="L141:L153"/>
  </mergeCells>
  <hyperlinks>
    <hyperlink ref="L2" location="'Table of Contents'!A1" display="Back to Table of Contents"/>
    <hyperlink ref="B11" r:id="rId1"/>
    <hyperlink ref="B24" r:id="rId2"/>
    <hyperlink ref="B37" r:id="rId3"/>
    <hyperlink ref="B50" r:id="rId4"/>
    <hyperlink ref="B63" r:id="rId5"/>
    <hyperlink ref="B77" r:id="rId6"/>
    <hyperlink ref="B90" r:id="rId7"/>
    <hyperlink ref="B116" r:id="rId8"/>
    <hyperlink ref="B129" r:id="rId9"/>
    <hyperlink ref="B142" r:id="rId10"/>
    <hyperlink ref="B103" r:id="rId11"/>
  </hyperlinks>
  <printOptions horizontalCentered="1"/>
  <pageMargins left="0.25" right="0.25" top="0.75" bottom="0.75" header="0.3" footer="0.3"/>
  <pageSetup scale="76" fitToHeight="5" orientation="landscape" r:id="rId12"/>
  <headerFooter>
    <oddFooter>&amp;LMassachusetts Department of Elementary and Secondary Education&amp;RPage &amp;P of &amp;N</oddFooter>
  </headerFooter>
  <rowBreaks count="5" manualBreakCount="5">
    <brk id="22" min="1" max="11" man="1"/>
    <brk id="48" min="1" max="8" man="1"/>
    <brk id="74" min="1" max="11" man="1"/>
    <brk id="101" min="1" max="11" man="1"/>
    <brk id="127" min="1" max="11" man="1"/>
  </rowBreaks>
</worksheet>
</file>

<file path=xl/worksheets/sheet4.xml><?xml version="1.0" encoding="utf-8"?>
<worksheet xmlns="http://schemas.openxmlformats.org/spreadsheetml/2006/main" xmlns:r="http://schemas.openxmlformats.org/officeDocument/2006/relationships">
  <sheetPr codeName="Sheet4"/>
  <dimension ref="B1:L213"/>
  <sheetViews>
    <sheetView zoomScaleNormal="100" zoomScaleSheetLayoutView="70" workbookViewId="0">
      <pane ySplit="8" topLeftCell="A15" activePane="bottomLeft" state="frozen"/>
      <selection activeCell="I2" sqref="I2"/>
      <selection pane="bottomLeft" activeCell="D16" sqref="D16"/>
    </sheetView>
  </sheetViews>
  <sheetFormatPr defaultColWidth="9.140625" defaultRowHeight="12.75"/>
  <cols>
    <col min="1" max="1" width="2.7109375" style="155" customWidth="1"/>
    <col min="2" max="2" width="58.140625" style="155" customWidth="1"/>
    <col min="3" max="3" width="8.28515625" style="265" customWidth="1"/>
    <col min="4" max="4" width="8.42578125" style="265" customWidth="1"/>
    <col min="5" max="5" width="8.42578125" style="265" hidden="1" customWidth="1"/>
    <col min="6" max="9" width="8.42578125" style="265" customWidth="1"/>
    <col min="10" max="10" width="37.140625" style="155" customWidth="1"/>
    <col min="11" max="16384" width="9.140625" style="155"/>
  </cols>
  <sheetData>
    <row r="1" spans="2:10" ht="15">
      <c r="B1" s="222" t="s">
        <v>344</v>
      </c>
      <c r="C1" s="223"/>
      <c r="D1" s="223"/>
      <c r="E1" s="223"/>
      <c r="F1" s="223"/>
      <c r="G1" s="223"/>
      <c r="H1" s="223"/>
      <c r="I1" s="223"/>
      <c r="J1" s="224" t="s">
        <v>345</v>
      </c>
    </row>
    <row r="2" spans="2:10" ht="15" customHeight="1">
      <c r="B2" s="346" t="s">
        <v>26</v>
      </c>
      <c r="C2" s="225"/>
      <c r="D2" s="226"/>
      <c r="E2" s="226"/>
      <c r="F2" s="226"/>
      <c r="G2" s="227"/>
      <c r="H2" s="227"/>
      <c r="I2" s="227"/>
      <c r="J2" s="154"/>
    </row>
    <row r="3" spans="2:10" ht="15" customHeight="1">
      <c r="B3" s="346"/>
      <c r="C3" s="225"/>
      <c r="D3" s="226"/>
      <c r="E3" s="226"/>
      <c r="F3" s="226"/>
      <c r="G3" s="227"/>
      <c r="H3" s="227"/>
      <c r="I3" s="227"/>
      <c r="J3" s="152"/>
    </row>
    <row r="4" spans="2:10">
      <c r="B4" s="157" t="s">
        <v>140</v>
      </c>
      <c r="C4" s="157"/>
      <c r="D4" s="157"/>
      <c r="E4" s="157"/>
      <c r="F4" s="157"/>
      <c r="G4" s="227"/>
      <c r="H4" s="227"/>
      <c r="I4" s="227"/>
      <c r="J4" s="152"/>
    </row>
    <row r="5" spans="2:10" ht="80.25" customHeight="1">
      <c r="B5" s="417" t="s">
        <v>141</v>
      </c>
      <c r="C5" s="417"/>
      <c r="D5" s="417"/>
      <c r="E5" s="417"/>
      <c r="F5" s="417"/>
      <c r="G5" s="417"/>
      <c r="H5" s="417"/>
      <c r="I5" s="417"/>
      <c r="J5" s="417"/>
    </row>
    <row r="6" spans="2:10" ht="5.0999999999999996" customHeight="1">
      <c r="B6" s="158"/>
      <c r="C6" s="158"/>
      <c r="D6" s="158"/>
      <c r="E6" s="158"/>
      <c r="F6" s="158"/>
      <c r="G6" s="158"/>
      <c r="H6" s="158"/>
      <c r="I6" s="158"/>
      <c r="J6" s="158"/>
    </row>
    <row r="7" spans="2:10" s="159" customFormat="1" ht="35.25" customHeight="1">
      <c r="B7" s="347" t="s">
        <v>0</v>
      </c>
      <c r="C7" s="352" t="s">
        <v>1</v>
      </c>
      <c r="D7" s="353"/>
      <c r="E7" s="353"/>
      <c r="F7" s="353"/>
      <c r="G7" s="353"/>
      <c r="H7" s="353"/>
      <c r="I7" s="354"/>
      <c r="J7" s="349" t="s">
        <v>321</v>
      </c>
    </row>
    <row r="8" spans="2:10" s="159" customFormat="1" ht="35.25" customHeight="1">
      <c r="B8" s="348"/>
      <c r="C8" s="228" t="s">
        <v>139</v>
      </c>
      <c r="D8" s="228" t="s">
        <v>341</v>
      </c>
      <c r="E8" s="228" t="s">
        <v>20</v>
      </c>
      <c r="F8" s="228" t="s">
        <v>325</v>
      </c>
      <c r="G8" s="228" t="s">
        <v>21</v>
      </c>
      <c r="H8" s="228" t="s">
        <v>279</v>
      </c>
      <c r="I8" s="228" t="s">
        <v>280</v>
      </c>
      <c r="J8" s="350"/>
    </row>
    <row r="9" spans="2:10" s="159" customFormat="1">
      <c r="B9" s="306" t="s">
        <v>50</v>
      </c>
      <c r="C9" s="307"/>
      <c r="D9" s="307"/>
      <c r="E9" s="307"/>
      <c r="F9" s="307"/>
      <c r="G9" s="307"/>
      <c r="H9" s="307"/>
      <c r="I9" s="307"/>
      <c r="J9" s="308"/>
    </row>
    <row r="10" spans="2:10" s="231" customFormat="1" ht="89.25">
      <c r="B10" s="229" t="s">
        <v>328</v>
      </c>
      <c r="C10" s="230">
        <v>61.8</v>
      </c>
      <c r="D10" s="117">
        <f>IF(ISERROR(VLOOKUP(School_Code&amp;"All students",School_Data,33,FALSE)),"",(VLOOKUP(School_Code&amp;"All students",School_Data,33,FALSE)))</f>
        <v>65.3</v>
      </c>
      <c r="E10" s="117">
        <f>IF(ISERROR(VLOOKUP(School_Code&amp;"All students",School_Data,35,FALSE)),"",(VLOOKUP(School_Code&amp;"All students",School_Data,35,FALSE)))</f>
        <v>68.7</v>
      </c>
      <c r="F10" s="117"/>
      <c r="G10" s="118">
        <f>IF(ISERROR(VLOOKUP(School_Code&amp;"All students",School_Data,36,FALSE)),"",(VLOOKUP(School_Code&amp;"All students",School_Data,36,FALSE)))</f>
        <v>72.2</v>
      </c>
      <c r="H10" s="118">
        <f>IF(ISERROR(VLOOKUP(School_Code&amp;"All students",School_Data,37,FALSE)),"",(VLOOKUP(School_Code&amp;"All students",School_Data,37,FALSE)))</f>
        <v>75.7</v>
      </c>
      <c r="I10" s="119">
        <f>IF(ISERROR(VLOOKUP(School_Code&amp;"All students",School_Data,38,FALSE)),"",(VLOOKUP(School_Code&amp;"All students",School_Data,38,FALSE)))</f>
        <v>79.2</v>
      </c>
      <c r="J10" s="197"/>
    </row>
    <row r="11" spans="2:10" s="231" customFormat="1" ht="24" customHeight="1">
      <c r="B11" s="232" t="s">
        <v>332</v>
      </c>
      <c r="C11" s="233" t="s">
        <v>322</v>
      </c>
      <c r="D11" s="114">
        <v>0.1</v>
      </c>
      <c r="E11" s="114">
        <v>0.15</v>
      </c>
      <c r="F11" s="114"/>
      <c r="G11" s="115">
        <v>0.2</v>
      </c>
      <c r="H11" s="115">
        <v>0.25</v>
      </c>
      <c r="I11" s="116">
        <v>0.3</v>
      </c>
      <c r="J11" s="234"/>
    </row>
    <row r="12" spans="2:10" s="159" customFormat="1">
      <c r="B12" s="306" t="s">
        <v>51</v>
      </c>
      <c r="C12" s="307"/>
      <c r="D12" s="307"/>
      <c r="E12" s="307"/>
      <c r="F12" s="307"/>
      <c r="G12" s="307"/>
      <c r="H12" s="307"/>
      <c r="I12" s="307"/>
      <c r="J12" s="308"/>
    </row>
    <row r="13" spans="2:10" s="231" customFormat="1" ht="26.25" customHeight="1">
      <c r="B13" s="235" t="s">
        <v>333</v>
      </c>
      <c r="C13" s="236">
        <v>0.31</v>
      </c>
      <c r="D13" s="237">
        <v>0.24</v>
      </c>
      <c r="E13" s="237">
        <v>0.27</v>
      </c>
      <c r="F13" s="237"/>
      <c r="G13" s="238">
        <v>0.3</v>
      </c>
      <c r="H13" s="239">
        <v>0.33</v>
      </c>
      <c r="I13" s="240">
        <v>0.36</v>
      </c>
      <c r="J13" s="241"/>
    </row>
    <row r="14" spans="2:10" s="231" customFormat="1" ht="26.25" customHeight="1">
      <c r="B14" s="235" t="s">
        <v>334</v>
      </c>
      <c r="C14" s="236">
        <v>0.24</v>
      </c>
      <c r="D14" s="237">
        <v>0.45</v>
      </c>
      <c r="E14" s="237">
        <v>0.48</v>
      </c>
      <c r="F14" s="237"/>
      <c r="G14" s="238">
        <v>0.51</v>
      </c>
      <c r="H14" s="239">
        <v>0.54</v>
      </c>
      <c r="I14" s="240">
        <v>0.56999999999999995</v>
      </c>
      <c r="J14" s="241"/>
    </row>
    <row r="15" spans="2:10" s="159" customFormat="1">
      <c r="B15" s="306" t="s">
        <v>52</v>
      </c>
      <c r="C15" s="307"/>
      <c r="D15" s="307"/>
      <c r="E15" s="307"/>
      <c r="F15" s="307"/>
      <c r="G15" s="307"/>
      <c r="H15" s="307"/>
      <c r="I15" s="307"/>
      <c r="J15" s="308"/>
    </row>
    <row r="16" spans="2:10" s="231" customFormat="1" ht="25.5">
      <c r="B16" s="242" t="s">
        <v>335</v>
      </c>
      <c r="C16" s="230" t="s">
        <v>322</v>
      </c>
      <c r="D16" s="243">
        <v>1</v>
      </c>
      <c r="E16" s="243">
        <v>1</v>
      </c>
      <c r="F16" s="243"/>
      <c r="G16" s="243">
        <v>1</v>
      </c>
      <c r="H16" s="243">
        <v>1</v>
      </c>
      <c r="I16" s="243">
        <v>1</v>
      </c>
      <c r="J16" s="244"/>
    </row>
    <row r="17" spans="2:12" s="231" customFormat="1" ht="44.45" customHeight="1">
      <c r="B17" s="242" t="s">
        <v>336</v>
      </c>
      <c r="C17" s="230" t="s">
        <v>322</v>
      </c>
      <c r="D17" s="243" t="s">
        <v>322</v>
      </c>
      <c r="E17" s="243">
        <v>0.7</v>
      </c>
      <c r="F17" s="243"/>
      <c r="G17" s="243">
        <v>0.75</v>
      </c>
      <c r="H17" s="243">
        <v>0.8</v>
      </c>
      <c r="I17" s="243">
        <v>0.9</v>
      </c>
      <c r="J17" s="244" t="s">
        <v>342</v>
      </c>
    </row>
    <row r="18" spans="2:12" s="159" customFormat="1">
      <c r="B18" s="306" t="s">
        <v>53</v>
      </c>
      <c r="C18" s="307"/>
      <c r="D18" s="307"/>
      <c r="E18" s="307"/>
      <c r="F18" s="307"/>
      <c r="G18" s="307"/>
      <c r="H18" s="307"/>
      <c r="I18" s="307"/>
      <c r="J18" s="308"/>
    </row>
    <row r="19" spans="2:12" s="231" customFormat="1" ht="19.149999999999999" customHeight="1">
      <c r="B19" s="229" t="s">
        <v>23</v>
      </c>
      <c r="C19" s="230" t="s">
        <v>322</v>
      </c>
      <c r="D19" s="245">
        <v>0.96599999999999997</v>
      </c>
      <c r="E19" s="245">
        <v>0.97</v>
      </c>
      <c r="F19" s="245"/>
      <c r="G19" s="246">
        <v>0.97399999999999998</v>
      </c>
      <c r="H19" s="247">
        <v>0.98799999999999999</v>
      </c>
      <c r="I19" s="248">
        <v>0.98199999999999998</v>
      </c>
      <c r="J19" s="197"/>
    </row>
    <row r="20" spans="2:12" s="231" customFormat="1" ht="25.5">
      <c r="B20" s="249" t="s">
        <v>320</v>
      </c>
      <c r="C20" s="250">
        <v>0.76200000000000001</v>
      </c>
      <c r="D20" s="251">
        <v>0.6</v>
      </c>
      <c r="E20" s="251">
        <v>0.65</v>
      </c>
      <c r="F20" s="251"/>
      <c r="G20" s="251">
        <v>0.7</v>
      </c>
      <c r="H20" s="252">
        <v>0.8</v>
      </c>
      <c r="I20" s="253">
        <v>0.9</v>
      </c>
      <c r="J20" s="254"/>
    </row>
    <row r="21" spans="2:12" s="231" customFormat="1" ht="25.5">
      <c r="B21" s="235" t="s">
        <v>337</v>
      </c>
      <c r="C21" s="135" t="s">
        <v>322</v>
      </c>
      <c r="D21" s="237" t="s">
        <v>322</v>
      </c>
      <c r="E21" s="237">
        <v>0.5</v>
      </c>
      <c r="F21" s="237"/>
      <c r="G21" s="238">
        <v>0.6</v>
      </c>
      <c r="H21" s="239">
        <v>0.7</v>
      </c>
      <c r="I21" s="240">
        <v>0.8</v>
      </c>
      <c r="J21" s="241" t="s">
        <v>342</v>
      </c>
    </row>
    <row r="22" spans="2:12" s="159" customFormat="1">
      <c r="B22" s="306" t="s">
        <v>54</v>
      </c>
      <c r="C22" s="307"/>
      <c r="D22" s="307"/>
      <c r="E22" s="307"/>
      <c r="F22" s="307"/>
      <c r="G22" s="307"/>
      <c r="H22" s="307"/>
      <c r="I22" s="307"/>
      <c r="J22" s="308"/>
    </row>
    <row r="23" spans="2:12" s="231" customFormat="1" ht="76.5">
      <c r="B23" s="242" t="s">
        <v>338</v>
      </c>
      <c r="C23" s="230" t="s">
        <v>322</v>
      </c>
      <c r="D23" s="133" t="s">
        <v>322</v>
      </c>
      <c r="E23" s="243">
        <v>1</v>
      </c>
      <c r="F23" s="243"/>
      <c r="G23" s="243">
        <v>1</v>
      </c>
      <c r="H23" s="243">
        <v>1</v>
      </c>
      <c r="I23" s="243">
        <v>1</v>
      </c>
      <c r="J23" s="244" t="s">
        <v>342</v>
      </c>
    </row>
    <row r="24" spans="2:12" s="231" customFormat="1" ht="25.5">
      <c r="B24" s="242" t="s">
        <v>339</v>
      </c>
      <c r="C24" s="230" t="s">
        <v>322</v>
      </c>
      <c r="D24" s="133" t="s">
        <v>322</v>
      </c>
      <c r="E24" s="255">
        <v>0.5</v>
      </c>
      <c r="F24" s="255"/>
      <c r="G24" s="255">
        <v>0.6</v>
      </c>
      <c r="H24" s="255">
        <v>0.7</v>
      </c>
      <c r="I24" s="256">
        <v>0.8</v>
      </c>
      <c r="J24" s="257" t="s">
        <v>342</v>
      </c>
    </row>
    <row r="25" spans="2:12" s="159" customFormat="1">
      <c r="B25" s="306" t="s">
        <v>55</v>
      </c>
      <c r="C25" s="307"/>
      <c r="D25" s="307"/>
      <c r="E25" s="307"/>
      <c r="F25" s="307"/>
      <c r="G25" s="307"/>
      <c r="H25" s="307"/>
      <c r="I25" s="307"/>
      <c r="J25" s="308"/>
    </row>
    <row r="26" spans="2:12" s="231" customFormat="1" ht="30.6" customHeight="1">
      <c r="B26" s="229" t="s">
        <v>340</v>
      </c>
      <c r="C26" s="230" t="s">
        <v>322</v>
      </c>
      <c r="D26" s="117" t="s">
        <v>322</v>
      </c>
      <c r="E26" s="245">
        <v>0.5</v>
      </c>
      <c r="F26" s="245"/>
      <c r="G26" s="246">
        <v>0.6</v>
      </c>
      <c r="H26" s="247">
        <v>0.7</v>
      </c>
      <c r="I26" s="248">
        <v>0.8</v>
      </c>
      <c r="J26" s="197" t="s">
        <v>342</v>
      </c>
    </row>
    <row r="27" spans="2:12" hidden="1">
      <c r="B27" s="306" t="s">
        <v>56</v>
      </c>
      <c r="C27" s="307"/>
      <c r="D27" s="307"/>
      <c r="E27" s="307"/>
      <c r="F27" s="307"/>
      <c r="G27" s="307"/>
      <c r="H27" s="307"/>
      <c r="I27" s="307"/>
      <c r="J27" s="308"/>
    </row>
    <row r="28" spans="2:12" hidden="1">
      <c r="B28" s="203"/>
      <c r="C28" s="204"/>
      <c r="D28" s="205"/>
      <c r="E28" s="205"/>
      <c r="F28" s="205"/>
      <c r="G28" s="205"/>
      <c r="H28" s="258"/>
      <c r="I28" s="258"/>
      <c r="J28" s="220"/>
      <c r="L28" s="159"/>
    </row>
    <row r="29" spans="2:12" hidden="1">
      <c r="B29" s="208"/>
      <c r="C29" s="209"/>
      <c r="D29" s="210"/>
      <c r="E29" s="210"/>
      <c r="F29" s="210"/>
      <c r="G29" s="210"/>
      <c r="H29" s="259"/>
      <c r="I29" s="259"/>
      <c r="J29" s="260"/>
    </row>
    <row r="30" spans="2:12" hidden="1">
      <c r="B30" s="261"/>
      <c r="C30" s="262"/>
      <c r="D30" s="263"/>
      <c r="E30" s="263"/>
      <c r="F30" s="263"/>
      <c r="G30" s="263"/>
      <c r="H30" s="264"/>
      <c r="I30" s="264"/>
      <c r="J30" s="221"/>
    </row>
    <row r="31" spans="2:12" hidden="1"/>
    <row r="32" spans="2:12" ht="12.75" hidden="1" customHeight="1">
      <c r="B32" s="346" t="s">
        <v>59</v>
      </c>
      <c r="C32" s="346"/>
      <c r="D32" s="346"/>
    </row>
    <row r="33" spans="2:10" ht="12.75" hidden="1" customHeight="1">
      <c r="B33" s="346"/>
      <c r="C33" s="346"/>
      <c r="D33" s="346"/>
    </row>
    <row r="34" spans="2:10" ht="84.75" hidden="1" customHeight="1">
      <c r="B34" s="417" t="s">
        <v>133</v>
      </c>
      <c r="C34" s="417"/>
      <c r="D34" s="417"/>
      <c r="E34" s="417"/>
      <c r="F34" s="417"/>
      <c r="G34" s="417"/>
      <c r="H34" s="417"/>
      <c r="I34" s="417"/>
      <c r="J34" s="417"/>
    </row>
    <row r="35" spans="2:10" ht="12.75" hidden="1" customHeight="1">
      <c r="B35" s="418" t="s">
        <v>50</v>
      </c>
      <c r="C35" s="307"/>
      <c r="D35" s="307"/>
      <c r="E35" s="307"/>
      <c r="F35" s="307"/>
      <c r="G35" s="307"/>
      <c r="H35" s="307"/>
      <c r="I35" s="307"/>
      <c r="J35" s="308"/>
    </row>
    <row r="36" spans="2:10" ht="25.5" hidden="1">
      <c r="B36" s="18" t="s">
        <v>329</v>
      </c>
      <c r="C36" s="266"/>
      <c r="D36" s="267"/>
      <c r="E36" s="267"/>
      <c r="F36" s="267"/>
      <c r="G36" s="131"/>
      <c r="H36" s="268"/>
      <c r="I36" s="129"/>
      <c r="J36" s="269"/>
    </row>
    <row r="37" spans="2:10" ht="25.5" hidden="1">
      <c r="B37" s="19" t="s">
        <v>57</v>
      </c>
      <c r="C37" s="400"/>
      <c r="D37" s="401"/>
      <c r="E37" s="401"/>
      <c r="F37" s="79"/>
      <c r="G37" s="388"/>
      <c r="H37" s="386"/>
      <c r="I37" s="398"/>
      <c r="J37" s="419"/>
    </row>
    <row r="38" spans="2:10" ht="15" hidden="1" customHeight="1">
      <c r="B38" s="20" t="s">
        <v>32</v>
      </c>
      <c r="C38" s="400"/>
      <c r="D38" s="401"/>
      <c r="E38" s="401"/>
      <c r="F38" s="79"/>
      <c r="G38" s="388"/>
      <c r="H38" s="387"/>
      <c r="I38" s="398"/>
      <c r="J38" s="419"/>
    </row>
    <row r="39" spans="2:10" ht="36.75" hidden="1" customHeight="1">
      <c r="B39" s="19" t="s">
        <v>330</v>
      </c>
      <c r="C39" s="390"/>
      <c r="D39" s="392"/>
      <c r="E39" s="392"/>
      <c r="F39" s="77"/>
      <c r="G39" s="386"/>
      <c r="H39" s="386"/>
      <c r="I39" s="396"/>
      <c r="J39" s="414"/>
    </row>
    <row r="40" spans="2:10" ht="14.45" hidden="1" customHeight="1">
      <c r="B40" s="21" t="s">
        <v>6</v>
      </c>
      <c r="C40" s="391"/>
      <c r="D40" s="393"/>
      <c r="E40" s="393"/>
      <c r="F40" s="78"/>
      <c r="G40" s="387"/>
      <c r="H40" s="387"/>
      <c r="I40" s="397"/>
      <c r="J40" s="416"/>
    </row>
    <row r="41" spans="2:10" ht="25.5" hidden="1">
      <c r="B41" s="19" t="s">
        <v>331</v>
      </c>
      <c r="C41" s="390"/>
      <c r="D41" s="392"/>
      <c r="E41" s="392"/>
      <c r="F41" s="77"/>
      <c r="G41" s="386"/>
      <c r="H41" s="386"/>
      <c r="I41" s="396"/>
      <c r="J41" s="414"/>
    </row>
    <row r="42" spans="2:10" ht="14.45" hidden="1" customHeight="1">
      <c r="B42" s="21" t="s">
        <v>6</v>
      </c>
      <c r="C42" s="391"/>
      <c r="D42" s="393"/>
      <c r="E42" s="393"/>
      <c r="F42" s="78"/>
      <c r="G42" s="387"/>
      <c r="H42" s="387"/>
      <c r="I42" s="397"/>
      <c r="J42" s="416"/>
    </row>
    <row r="43" spans="2:10" hidden="1">
      <c r="B43" s="19" t="s">
        <v>58</v>
      </c>
      <c r="C43" s="390"/>
      <c r="D43" s="392"/>
      <c r="E43" s="392"/>
      <c r="F43" s="77"/>
      <c r="G43" s="386"/>
      <c r="H43" s="386"/>
      <c r="I43" s="396"/>
      <c r="J43" s="414"/>
    </row>
    <row r="44" spans="2:10" hidden="1">
      <c r="B44" s="22" t="s">
        <v>6</v>
      </c>
      <c r="C44" s="413"/>
      <c r="D44" s="341"/>
      <c r="E44" s="341"/>
      <c r="F44" s="134"/>
      <c r="G44" s="324"/>
      <c r="H44" s="324"/>
      <c r="I44" s="339"/>
      <c r="J44" s="415"/>
    </row>
    <row r="45" spans="2:10" hidden="1">
      <c r="B45" s="306" t="s">
        <v>51</v>
      </c>
      <c r="C45" s="307"/>
      <c r="D45" s="307"/>
      <c r="E45" s="307"/>
      <c r="F45" s="307"/>
      <c r="G45" s="307"/>
      <c r="H45" s="307"/>
      <c r="I45" s="307"/>
      <c r="J45" s="308"/>
    </row>
    <row r="46" spans="2:10" ht="12.75" hidden="1" customHeight="1">
      <c r="B46" s="32" t="s">
        <v>60</v>
      </c>
      <c r="C46" s="412"/>
      <c r="D46" s="340"/>
      <c r="E46" s="340"/>
      <c r="F46" s="133"/>
      <c r="G46" s="323"/>
      <c r="H46" s="323"/>
      <c r="I46" s="338"/>
      <c r="J46" s="344"/>
    </row>
    <row r="47" spans="2:10" ht="12.75" hidden="1" customHeight="1">
      <c r="B47" s="23" t="s">
        <v>122</v>
      </c>
      <c r="C47" s="391"/>
      <c r="D47" s="393"/>
      <c r="E47" s="393"/>
      <c r="F47" s="78"/>
      <c r="G47" s="387"/>
      <c r="H47" s="387"/>
      <c r="I47" s="397"/>
      <c r="J47" s="395"/>
    </row>
    <row r="48" spans="2:10" ht="25.5" hidden="1">
      <c r="B48" s="24" t="s">
        <v>61</v>
      </c>
      <c r="C48" s="270"/>
      <c r="D48" s="78"/>
      <c r="E48" s="78"/>
      <c r="F48" s="78"/>
      <c r="G48" s="76"/>
      <c r="H48" s="271"/>
      <c r="I48" s="72"/>
      <c r="J48" s="272"/>
    </row>
    <row r="49" spans="2:10" ht="25.5" hidden="1">
      <c r="B49" s="19" t="s">
        <v>62</v>
      </c>
      <c r="C49" s="390"/>
      <c r="D49" s="392"/>
      <c r="E49" s="392"/>
      <c r="F49" s="77"/>
      <c r="G49" s="386"/>
      <c r="H49" s="386"/>
      <c r="I49" s="396"/>
      <c r="J49" s="394"/>
    </row>
    <row r="50" spans="2:10" ht="15" hidden="1" customHeight="1">
      <c r="B50" s="25" t="s">
        <v>32</v>
      </c>
      <c r="C50" s="391"/>
      <c r="D50" s="393"/>
      <c r="E50" s="393"/>
      <c r="F50" s="78"/>
      <c r="G50" s="387"/>
      <c r="H50" s="387"/>
      <c r="I50" s="397"/>
      <c r="J50" s="395"/>
    </row>
    <row r="51" spans="2:10" ht="25.5" hidden="1">
      <c r="B51" s="19" t="s">
        <v>63</v>
      </c>
      <c r="C51" s="390"/>
      <c r="D51" s="392"/>
      <c r="E51" s="392"/>
      <c r="F51" s="77"/>
      <c r="G51" s="386"/>
      <c r="H51" s="386"/>
      <c r="I51" s="396"/>
      <c r="J51" s="273"/>
    </row>
    <row r="52" spans="2:10" ht="15" hidden="1" customHeight="1">
      <c r="B52" s="25" t="s">
        <v>32</v>
      </c>
      <c r="C52" s="391"/>
      <c r="D52" s="393"/>
      <c r="E52" s="393"/>
      <c r="F52" s="78"/>
      <c r="G52" s="387"/>
      <c r="H52" s="387"/>
      <c r="I52" s="397"/>
      <c r="J52" s="274"/>
    </row>
    <row r="53" spans="2:10" ht="15" hidden="1" customHeight="1">
      <c r="B53" s="26" t="s">
        <v>64</v>
      </c>
      <c r="C53" s="270"/>
      <c r="D53" s="78"/>
      <c r="E53" s="78"/>
      <c r="F53" s="78"/>
      <c r="G53" s="76"/>
      <c r="H53" s="271"/>
      <c r="I53" s="72"/>
      <c r="J53" s="275"/>
    </row>
    <row r="54" spans="2:10" ht="25.5" hidden="1">
      <c r="B54" s="19" t="s">
        <v>65</v>
      </c>
      <c r="C54" s="390"/>
      <c r="D54" s="392"/>
      <c r="E54" s="392"/>
      <c r="F54" s="77"/>
      <c r="G54" s="386"/>
      <c r="H54" s="386"/>
      <c r="I54" s="396"/>
      <c r="J54" s="273"/>
    </row>
    <row r="55" spans="2:10" ht="15" hidden="1" customHeight="1">
      <c r="B55" s="25" t="s">
        <v>32</v>
      </c>
      <c r="C55" s="391"/>
      <c r="D55" s="393"/>
      <c r="E55" s="393"/>
      <c r="F55" s="78"/>
      <c r="G55" s="387"/>
      <c r="H55" s="387"/>
      <c r="I55" s="397"/>
      <c r="J55" s="274"/>
    </row>
    <row r="56" spans="2:10" ht="15" hidden="1" customHeight="1">
      <c r="B56" s="19" t="s">
        <v>66</v>
      </c>
      <c r="C56" s="390"/>
      <c r="D56" s="392"/>
      <c r="E56" s="392"/>
      <c r="F56" s="77"/>
      <c r="G56" s="386"/>
      <c r="H56" s="386"/>
      <c r="I56" s="396"/>
      <c r="J56" s="394"/>
    </row>
    <row r="57" spans="2:10" ht="15" hidden="1" customHeight="1">
      <c r="B57" s="27" t="s">
        <v>119</v>
      </c>
      <c r="C57" s="410"/>
      <c r="D57" s="411"/>
      <c r="E57" s="411"/>
      <c r="F57" s="276"/>
      <c r="G57" s="389"/>
      <c r="H57" s="389"/>
      <c r="I57" s="408"/>
      <c r="J57" s="409"/>
    </row>
    <row r="58" spans="2:10" ht="15" hidden="1" customHeight="1">
      <c r="B58" s="23" t="s">
        <v>120</v>
      </c>
      <c r="C58" s="391"/>
      <c r="D58" s="393"/>
      <c r="E58" s="393"/>
      <c r="F58" s="78"/>
      <c r="G58" s="387"/>
      <c r="H58" s="387"/>
      <c r="I58" s="397"/>
      <c r="J58" s="272"/>
    </row>
    <row r="59" spans="2:10" hidden="1">
      <c r="B59" s="19" t="s">
        <v>67</v>
      </c>
      <c r="C59" s="390"/>
      <c r="D59" s="392"/>
      <c r="E59" s="392"/>
      <c r="F59" s="77"/>
      <c r="G59" s="386"/>
      <c r="H59" s="386"/>
      <c r="I59" s="396"/>
      <c r="J59" s="394"/>
    </row>
    <row r="60" spans="2:10" ht="15" hidden="1" customHeight="1">
      <c r="B60" s="28" t="s">
        <v>7</v>
      </c>
      <c r="C60" s="391"/>
      <c r="D60" s="393"/>
      <c r="E60" s="393"/>
      <c r="F60" s="78"/>
      <c r="G60" s="387"/>
      <c r="H60" s="387"/>
      <c r="I60" s="397"/>
      <c r="J60" s="395"/>
    </row>
    <row r="61" spans="2:10" hidden="1">
      <c r="B61" s="19" t="s">
        <v>68</v>
      </c>
      <c r="C61" s="390"/>
      <c r="D61" s="392"/>
      <c r="E61" s="392"/>
      <c r="F61" s="77"/>
      <c r="G61" s="386"/>
      <c r="H61" s="386"/>
      <c r="I61" s="396"/>
      <c r="J61" s="394"/>
    </row>
    <row r="62" spans="2:10" ht="15" hidden="1" customHeight="1">
      <c r="B62" s="25" t="s">
        <v>32</v>
      </c>
      <c r="C62" s="391"/>
      <c r="D62" s="393"/>
      <c r="E62" s="393"/>
      <c r="F62" s="78"/>
      <c r="G62" s="387"/>
      <c r="H62" s="387"/>
      <c r="I62" s="397"/>
      <c r="J62" s="395"/>
    </row>
    <row r="63" spans="2:10" ht="25.5" hidden="1">
      <c r="B63" s="19" t="s">
        <v>69</v>
      </c>
      <c r="C63" s="390"/>
      <c r="D63" s="392"/>
      <c r="E63" s="392"/>
      <c r="F63" s="77"/>
      <c r="G63" s="386"/>
      <c r="H63" s="386"/>
      <c r="I63" s="396"/>
      <c r="J63" s="394"/>
    </row>
    <row r="64" spans="2:10" ht="15" hidden="1" customHeight="1">
      <c r="B64" s="25" t="s">
        <v>121</v>
      </c>
      <c r="C64" s="391"/>
      <c r="D64" s="393"/>
      <c r="E64" s="393"/>
      <c r="F64" s="78"/>
      <c r="G64" s="387"/>
      <c r="H64" s="387"/>
      <c r="I64" s="397"/>
      <c r="J64" s="395"/>
    </row>
    <row r="65" spans="2:10" ht="25.5" hidden="1">
      <c r="B65" s="19" t="s">
        <v>70</v>
      </c>
      <c r="C65" s="390"/>
      <c r="D65" s="392"/>
      <c r="E65" s="392"/>
      <c r="F65" s="77"/>
      <c r="G65" s="386"/>
      <c r="H65" s="386"/>
      <c r="I65" s="396"/>
      <c r="J65" s="394"/>
    </row>
    <row r="66" spans="2:10" ht="15" hidden="1" customHeight="1">
      <c r="B66" s="28" t="s">
        <v>123</v>
      </c>
      <c r="C66" s="391"/>
      <c r="D66" s="393"/>
      <c r="E66" s="393"/>
      <c r="F66" s="78"/>
      <c r="G66" s="387"/>
      <c r="H66" s="387"/>
      <c r="I66" s="397"/>
      <c r="J66" s="395"/>
    </row>
    <row r="67" spans="2:10" hidden="1">
      <c r="B67" s="19" t="s">
        <v>71</v>
      </c>
      <c r="C67" s="390"/>
      <c r="D67" s="392"/>
      <c r="E67" s="392"/>
      <c r="F67" s="77"/>
      <c r="G67" s="386"/>
      <c r="H67" s="386"/>
      <c r="I67" s="396"/>
      <c r="J67" s="394"/>
    </row>
    <row r="68" spans="2:10" ht="15" hidden="1" customHeight="1">
      <c r="B68" s="25" t="s">
        <v>121</v>
      </c>
      <c r="C68" s="391"/>
      <c r="D68" s="393"/>
      <c r="E68" s="393"/>
      <c r="F68" s="78"/>
      <c r="G68" s="387"/>
      <c r="H68" s="387"/>
      <c r="I68" s="397"/>
      <c r="J68" s="395"/>
    </row>
    <row r="69" spans="2:10" ht="25.5" hidden="1">
      <c r="B69" s="19" t="s">
        <v>72</v>
      </c>
      <c r="C69" s="390"/>
      <c r="D69" s="392"/>
      <c r="E69" s="392"/>
      <c r="F69" s="77"/>
      <c r="G69" s="386"/>
      <c r="H69" s="386"/>
      <c r="I69" s="396"/>
      <c r="J69" s="394"/>
    </row>
    <row r="70" spans="2:10" ht="15" hidden="1" customHeight="1">
      <c r="B70" s="25" t="s">
        <v>121</v>
      </c>
      <c r="C70" s="391"/>
      <c r="D70" s="393"/>
      <c r="E70" s="393"/>
      <c r="F70" s="78"/>
      <c r="G70" s="387"/>
      <c r="H70" s="387"/>
      <c r="I70" s="397"/>
      <c r="J70" s="395"/>
    </row>
    <row r="71" spans="2:10" ht="25.5" hidden="1">
      <c r="B71" s="24" t="s">
        <v>73</v>
      </c>
      <c r="C71" s="270"/>
      <c r="D71" s="78"/>
      <c r="E71" s="78"/>
      <c r="F71" s="78"/>
      <c r="G71" s="76"/>
      <c r="H71" s="271"/>
      <c r="I71" s="72"/>
      <c r="J71" s="272"/>
    </row>
    <row r="72" spans="2:10" ht="25.5" hidden="1">
      <c r="B72" s="24" t="s">
        <v>74</v>
      </c>
      <c r="C72" s="270"/>
      <c r="D72" s="78"/>
      <c r="E72" s="78"/>
      <c r="F72" s="78"/>
      <c r="G72" s="76"/>
      <c r="H72" s="271"/>
      <c r="I72" s="72"/>
      <c r="J72" s="272"/>
    </row>
    <row r="73" spans="2:10" ht="25.5" hidden="1">
      <c r="B73" s="24" t="s">
        <v>75</v>
      </c>
      <c r="C73" s="270"/>
      <c r="D73" s="78"/>
      <c r="E73" s="78"/>
      <c r="F73" s="78"/>
      <c r="G73" s="76"/>
      <c r="H73" s="271"/>
      <c r="I73" s="72"/>
      <c r="J73" s="272"/>
    </row>
    <row r="74" spans="2:10" hidden="1">
      <c r="B74" s="24" t="s">
        <v>76</v>
      </c>
      <c r="C74" s="270"/>
      <c r="D74" s="78"/>
      <c r="E74" s="78"/>
      <c r="F74" s="78"/>
      <c r="G74" s="76"/>
      <c r="H74" s="271"/>
      <c r="I74" s="72"/>
      <c r="J74" s="272"/>
    </row>
    <row r="75" spans="2:10" hidden="1">
      <c r="B75" s="19" t="s">
        <v>77</v>
      </c>
      <c r="C75" s="390"/>
      <c r="D75" s="392"/>
      <c r="E75" s="392"/>
      <c r="F75" s="77"/>
      <c r="G75" s="386"/>
      <c r="H75" s="386"/>
      <c r="I75" s="396"/>
      <c r="J75" s="394"/>
    </row>
    <row r="76" spans="2:10" ht="15" hidden="1" customHeight="1">
      <c r="B76" s="23" t="s">
        <v>124</v>
      </c>
      <c r="C76" s="391"/>
      <c r="D76" s="393"/>
      <c r="E76" s="393"/>
      <c r="F76" s="78"/>
      <c r="G76" s="387"/>
      <c r="H76" s="387"/>
      <c r="I76" s="397"/>
      <c r="J76" s="395"/>
    </row>
    <row r="77" spans="2:10" hidden="1">
      <c r="B77" s="19" t="s">
        <v>78</v>
      </c>
      <c r="C77" s="277"/>
      <c r="D77" s="79"/>
      <c r="E77" s="79"/>
      <c r="F77" s="79"/>
      <c r="G77" s="74"/>
      <c r="H77" s="278"/>
      <c r="I77" s="73"/>
      <c r="J77" s="275"/>
    </row>
    <row r="78" spans="2:10" ht="25.5" hidden="1">
      <c r="B78" s="24" t="s">
        <v>79</v>
      </c>
      <c r="C78" s="270"/>
      <c r="D78" s="78"/>
      <c r="E78" s="78"/>
      <c r="F78" s="78"/>
      <c r="G78" s="76"/>
      <c r="H78" s="271"/>
      <c r="I78" s="72"/>
      <c r="J78" s="272"/>
    </row>
    <row r="79" spans="2:10" ht="25.5" hidden="1">
      <c r="B79" s="24" t="s">
        <v>80</v>
      </c>
      <c r="C79" s="270"/>
      <c r="D79" s="78"/>
      <c r="E79" s="78"/>
      <c r="F79" s="78"/>
      <c r="G79" s="76"/>
      <c r="H79" s="271"/>
      <c r="I79" s="72"/>
      <c r="J79" s="272"/>
    </row>
    <row r="80" spans="2:10" hidden="1">
      <c r="B80" s="19" t="s">
        <v>81</v>
      </c>
      <c r="C80" s="390"/>
      <c r="D80" s="392"/>
      <c r="E80" s="392"/>
      <c r="F80" s="77"/>
      <c r="G80" s="386"/>
      <c r="H80" s="386"/>
      <c r="I80" s="396"/>
      <c r="J80" s="394"/>
    </row>
    <row r="81" spans="2:10" ht="15" hidden="1" customHeight="1">
      <c r="B81" s="28" t="s">
        <v>3</v>
      </c>
      <c r="C81" s="391"/>
      <c r="D81" s="393"/>
      <c r="E81" s="393"/>
      <c r="F81" s="78"/>
      <c r="G81" s="387"/>
      <c r="H81" s="387"/>
      <c r="I81" s="397"/>
      <c r="J81" s="395"/>
    </row>
    <row r="82" spans="2:10" ht="25.5" hidden="1">
      <c r="B82" s="29" t="s">
        <v>82</v>
      </c>
      <c r="C82" s="270"/>
      <c r="D82" s="78"/>
      <c r="E82" s="78"/>
      <c r="F82" s="78"/>
      <c r="G82" s="76"/>
      <c r="H82" s="271"/>
      <c r="I82" s="72"/>
      <c r="J82" s="272"/>
    </row>
    <row r="83" spans="2:10" hidden="1">
      <c r="B83" s="306" t="s">
        <v>52</v>
      </c>
      <c r="C83" s="307"/>
      <c r="D83" s="307"/>
      <c r="E83" s="307"/>
      <c r="F83" s="307"/>
      <c r="G83" s="307"/>
      <c r="H83" s="307"/>
      <c r="I83" s="307"/>
      <c r="J83" s="308"/>
    </row>
    <row r="84" spans="2:10" ht="25.5" hidden="1">
      <c r="B84" s="19" t="s">
        <v>84</v>
      </c>
      <c r="C84" s="412"/>
      <c r="D84" s="340"/>
      <c r="E84" s="340"/>
      <c r="F84" s="133"/>
      <c r="G84" s="323"/>
      <c r="H84" s="323"/>
      <c r="I84" s="338"/>
      <c r="J84" s="344"/>
    </row>
    <row r="85" spans="2:10" ht="25.5" hidden="1">
      <c r="B85" s="23" t="s">
        <v>125</v>
      </c>
      <c r="C85" s="391"/>
      <c r="D85" s="393"/>
      <c r="E85" s="393"/>
      <c r="F85" s="78"/>
      <c r="G85" s="387"/>
      <c r="H85" s="387"/>
      <c r="I85" s="397"/>
      <c r="J85" s="395"/>
    </row>
    <row r="86" spans="2:10" ht="38.25" hidden="1">
      <c r="B86" s="29" t="s">
        <v>85</v>
      </c>
      <c r="C86" s="390"/>
      <c r="D86" s="392"/>
      <c r="E86" s="392"/>
      <c r="F86" s="77"/>
      <c r="G86" s="386"/>
      <c r="H86" s="386"/>
      <c r="I86" s="396"/>
      <c r="J86" s="394"/>
    </row>
    <row r="87" spans="2:10" ht="25.5" hidden="1">
      <c r="B87" s="23" t="s">
        <v>125</v>
      </c>
      <c r="C87" s="391"/>
      <c r="D87" s="393"/>
      <c r="E87" s="393"/>
      <c r="F87" s="78"/>
      <c r="G87" s="387"/>
      <c r="H87" s="387"/>
      <c r="I87" s="397"/>
      <c r="J87" s="395"/>
    </row>
    <row r="88" spans="2:10" ht="25.5" hidden="1">
      <c r="B88" s="29" t="s">
        <v>86</v>
      </c>
      <c r="C88" s="390"/>
      <c r="D88" s="392"/>
      <c r="E88" s="392"/>
      <c r="F88" s="77"/>
      <c r="G88" s="386"/>
      <c r="H88" s="386"/>
      <c r="I88" s="396"/>
      <c r="J88" s="394"/>
    </row>
    <row r="89" spans="2:10" ht="25.5" hidden="1">
      <c r="B89" s="23" t="s">
        <v>125</v>
      </c>
      <c r="C89" s="391"/>
      <c r="D89" s="393"/>
      <c r="E89" s="393"/>
      <c r="F89" s="78"/>
      <c r="G89" s="387"/>
      <c r="H89" s="387"/>
      <c r="I89" s="397"/>
      <c r="J89" s="395"/>
    </row>
    <row r="90" spans="2:10" ht="38.25" hidden="1">
      <c r="B90" s="29" t="s">
        <v>87</v>
      </c>
      <c r="C90" s="390"/>
      <c r="D90" s="392"/>
      <c r="E90" s="392"/>
      <c r="F90" s="77"/>
      <c r="G90" s="386"/>
      <c r="H90" s="386"/>
      <c r="I90" s="396"/>
      <c r="J90" s="394"/>
    </row>
    <row r="91" spans="2:10" ht="25.5" hidden="1">
      <c r="B91" s="23" t="s">
        <v>125</v>
      </c>
      <c r="C91" s="391"/>
      <c r="D91" s="393"/>
      <c r="E91" s="393"/>
      <c r="F91" s="78"/>
      <c r="G91" s="387"/>
      <c r="H91" s="387"/>
      <c r="I91" s="397"/>
      <c r="J91" s="395"/>
    </row>
    <row r="92" spans="2:10" ht="25.5" hidden="1">
      <c r="B92" s="29" t="s">
        <v>83</v>
      </c>
      <c r="C92" s="390"/>
      <c r="D92" s="392"/>
      <c r="E92" s="392"/>
      <c r="F92" s="77"/>
      <c r="G92" s="386"/>
      <c r="H92" s="386"/>
      <c r="I92" s="396"/>
      <c r="J92" s="394"/>
    </row>
    <row r="93" spans="2:10" ht="25.5" hidden="1">
      <c r="B93" s="23" t="s">
        <v>125</v>
      </c>
      <c r="C93" s="391"/>
      <c r="D93" s="393"/>
      <c r="E93" s="393"/>
      <c r="F93" s="78"/>
      <c r="G93" s="387"/>
      <c r="H93" s="387"/>
      <c r="I93" s="397"/>
      <c r="J93" s="395"/>
    </row>
    <row r="94" spans="2:10" ht="25.5" hidden="1">
      <c r="B94" s="29" t="s">
        <v>88</v>
      </c>
      <c r="C94" s="390"/>
      <c r="D94" s="392"/>
      <c r="E94" s="392"/>
      <c r="F94" s="77"/>
      <c r="G94" s="386"/>
      <c r="H94" s="386"/>
      <c r="I94" s="396"/>
      <c r="J94" s="394"/>
    </row>
    <row r="95" spans="2:10" ht="25.5" hidden="1">
      <c r="B95" s="23" t="s">
        <v>125</v>
      </c>
      <c r="C95" s="391"/>
      <c r="D95" s="393"/>
      <c r="E95" s="393"/>
      <c r="F95" s="78"/>
      <c r="G95" s="387"/>
      <c r="H95" s="387"/>
      <c r="I95" s="397"/>
      <c r="J95" s="395"/>
    </row>
    <row r="96" spans="2:10" ht="38.25" hidden="1">
      <c r="B96" s="29" t="s">
        <v>89</v>
      </c>
      <c r="C96" s="390"/>
      <c r="D96" s="392"/>
      <c r="E96" s="392"/>
      <c r="F96" s="77"/>
      <c r="G96" s="386"/>
      <c r="H96" s="386"/>
      <c r="I96" s="396"/>
      <c r="J96" s="394"/>
    </row>
    <row r="97" spans="2:10" ht="25.5" hidden="1">
      <c r="B97" s="23" t="s">
        <v>125</v>
      </c>
      <c r="C97" s="391"/>
      <c r="D97" s="393"/>
      <c r="E97" s="393"/>
      <c r="F97" s="78"/>
      <c r="G97" s="387"/>
      <c r="H97" s="387"/>
      <c r="I97" s="397"/>
      <c r="J97" s="395"/>
    </row>
    <row r="98" spans="2:10" ht="25.5" hidden="1">
      <c r="B98" s="29" t="s">
        <v>90</v>
      </c>
      <c r="C98" s="390"/>
      <c r="D98" s="392"/>
      <c r="E98" s="392"/>
      <c r="F98" s="77"/>
      <c r="G98" s="386"/>
      <c r="H98" s="386"/>
      <c r="I98" s="396"/>
      <c r="J98" s="394"/>
    </row>
    <row r="99" spans="2:10" ht="25.5" hidden="1">
      <c r="B99" s="23" t="s">
        <v>125</v>
      </c>
      <c r="C99" s="413"/>
      <c r="D99" s="341"/>
      <c r="E99" s="341"/>
      <c r="F99" s="134"/>
      <c r="G99" s="324"/>
      <c r="H99" s="324"/>
      <c r="I99" s="339"/>
      <c r="J99" s="345"/>
    </row>
    <row r="100" spans="2:10" hidden="1">
      <c r="B100" s="306" t="s">
        <v>53</v>
      </c>
      <c r="C100" s="307"/>
      <c r="D100" s="307"/>
      <c r="E100" s="307"/>
      <c r="F100" s="307"/>
      <c r="G100" s="307"/>
      <c r="H100" s="307"/>
      <c r="I100" s="307"/>
      <c r="J100" s="308"/>
    </row>
    <row r="101" spans="2:10" ht="25.5" hidden="1">
      <c r="B101" s="32" t="s">
        <v>91</v>
      </c>
      <c r="C101" s="407"/>
      <c r="D101" s="406"/>
      <c r="E101" s="406"/>
      <c r="F101" s="267"/>
      <c r="G101" s="319"/>
      <c r="H101" s="323"/>
      <c r="I101" s="336"/>
      <c r="J101" s="405"/>
    </row>
    <row r="102" spans="2:10" ht="15" hidden="1" customHeight="1">
      <c r="B102" s="31" t="s">
        <v>126</v>
      </c>
      <c r="C102" s="400"/>
      <c r="D102" s="401"/>
      <c r="E102" s="401"/>
      <c r="F102" s="79"/>
      <c r="G102" s="388"/>
      <c r="H102" s="389"/>
      <c r="I102" s="398"/>
      <c r="J102" s="399"/>
    </row>
    <row r="103" spans="2:10" ht="15" hidden="1" customHeight="1">
      <c r="B103" s="30" t="s">
        <v>4</v>
      </c>
      <c r="C103" s="400"/>
      <c r="D103" s="401"/>
      <c r="E103" s="401"/>
      <c r="F103" s="79"/>
      <c r="G103" s="388"/>
      <c r="H103" s="389"/>
      <c r="I103" s="398"/>
      <c r="J103" s="399"/>
    </row>
    <row r="104" spans="2:10" ht="15" hidden="1" customHeight="1">
      <c r="B104" s="28" t="s">
        <v>5</v>
      </c>
      <c r="C104" s="400"/>
      <c r="D104" s="401"/>
      <c r="E104" s="401"/>
      <c r="F104" s="79"/>
      <c r="G104" s="388"/>
      <c r="H104" s="387"/>
      <c r="I104" s="398"/>
      <c r="J104" s="399"/>
    </row>
    <row r="105" spans="2:10" ht="28.5" hidden="1" customHeight="1">
      <c r="B105" s="19" t="s">
        <v>92</v>
      </c>
      <c r="C105" s="400"/>
      <c r="D105" s="401"/>
      <c r="E105" s="401"/>
      <c r="F105" s="79"/>
      <c r="G105" s="388"/>
      <c r="H105" s="386"/>
      <c r="I105" s="398"/>
      <c r="J105" s="399"/>
    </row>
    <row r="106" spans="2:10" ht="15" hidden="1" customHeight="1">
      <c r="B106" s="31" t="s">
        <v>126</v>
      </c>
      <c r="C106" s="400"/>
      <c r="D106" s="401"/>
      <c r="E106" s="401"/>
      <c r="F106" s="79"/>
      <c r="G106" s="388"/>
      <c r="H106" s="389"/>
      <c r="I106" s="398"/>
      <c r="J106" s="399"/>
    </row>
    <row r="107" spans="2:10" ht="15" hidden="1" customHeight="1">
      <c r="B107" s="30" t="s">
        <v>4</v>
      </c>
      <c r="C107" s="400"/>
      <c r="D107" s="401"/>
      <c r="E107" s="401"/>
      <c r="F107" s="79"/>
      <c r="G107" s="388"/>
      <c r="H107" s="389"/>
      <c r="I107" s="398"/>
      <c r="J107" s="399"/>
    </row>
    <row r="108" spans="2:10" ht="15" hidden="1" customHeight="1">
      <c r="B108" s="28" t="s">
        <v>5</v>
      </c>
      <c r="C108" s="400"/>
      <c r="D108" s="401"/>
      <c r="E108" s="401"/>
      <c r="F108" s="79"/>
      <c r="G108" s="388"/>
      <c r="H108" s="387"/>
      <c r="I108" s="398"/>
      <c r="J108" s="399"/>
    </row>
    <row r="109" spans="2:10" ht="25.5" hidden="1">
      <c r="B109" s="19" t="s">
        <v>134</v>
      </c>
      <c r="C109" s="400"/>
      <c r="D109" s="401"/>
      <c r="E109" s="401"/>
      <c r="F109" s="79"/>
      <c r="G109" s="388"/>
      <c r="H109" s="386"/>
      <c r="I109" s="398"/>
      <c r="J109" s="399"/>
    </row>
    <row r="110" spans="2:10" ht="15" hidden="1" customHeight="1">
      <c r="B110" s="31" t="s">
        <v>126</v>
      </c>
      <c r="C110" s="400"/>
      <c r="D110" s="401"/>
      <c r="E110" s="401"/>
      <c r="F110" s="79"/>
      <c r="G110" s="388"/>
      <c r="H110" s="389"/>
      <c r="I110" s="398"/>
      <c r="J110" s="399"/>
    </row>
    <row r="111" spans="2:10" ht="15" hidden="1" customHeight="1">
      <c r="B111" s="30" t="s">
        <v>4</v>
      </c>
      <c r="C111" s="400"/>
      <c r="D111" s="401"/>
      <c r="E111" s="401"/>
      <c r="F111" s="79"/>
      <c r="G111" s="388"/>
      <c r="H111" s="389"/>
      <c r="I111" s="398"/>
      <c r="J111" s="399"/>
    </row>
    <row r="112" spans="2:10" ht="15" hidden="1" customHeight="1">
      <c r="B112" s="28" t="s">
        <v>5</v>
      </c>
      <c r="C112" s="400"/>
      <c r="D112" s="401"/>
      <c r="E112" s="401"/>
      <c r="F112" s="79"/>
      <c r="G112" s="388"/>
      <c r="H112" s="387"/>
      <c r="I112" s="398"/>
      <c r="J112" s="399"/>
    </row>
    <row r="113" spans="2:10" ht="25.5" hidden="1">
      <c r="B113" s="19" t="s">
        <v>93</v>
      </c>
      <c r="C113" s="400"/>
      <c r="D113" s="401"/>
      <c r="E113" s="401"/>
      <c r="F113" s="79"/>
      <c r="G113" s="388"/>
      <c r="H113" s="388"/>
      <c r="I113" s="398"/>
      <c r="J113" s="399"/>
    </row>
    <row r="114" spans="2:10" ht="15" hidden="1" customHeight="1">
      <c r="B114" s="31" t="s">
        <v>126</v>
      </c>
      <c r="C114" s="400"/>
      <c r="D114" s="401"/>
      <c r="E114" s="401"/>
      <c r="F114" s="79"/>
      <c r="G114" s="388"/>
      <c r="H114" s="388"/>
      <c r="I114" s="398"/>
      <c r="J114" s="399"/>
    </row>
    <row r="115" spans="2:10" ht="15" hidden="1" customHeight="1">
      <c r="B115" s="30" t="s">
        <v>4</v>
      </c>
      <c r="C115" s="400"/>
      <c r="D115" s="401"/>
      <c r="E115" s="401"/>
      <c r="F115" s="79"/>
      <c r="G115" s="388"/>
      <c r="H115" s="388"/>
      <c r="I115" s="398"/>
      <c r="J115" s="399"/>
    </row>
    <row r="116" spans="2:10" ht="15" hidden="1" customHeight="1">
      <c r="B116" s="28" t="s">
        <v>5</v>
      </c>
      <c r="C116" s="400"/>
      <c r="D116" s="401"/>
      <c r="E116" s="401"/>
      <c r="F116" s="79"/>
      <c r="G116" s="388"/>
      <c r="H116" s="388"/>
      <c r="I116" s="398"/>
      <c r="J116" s="399"/>
    </row>
    <row r="117" spans="2:10" ht="25.5" hidden="1">
      <c r="B117" s="19" t="s">
        <v>94</v>
      </c>
      <c r="C117" s="400"/>
      <c r="D117" s="401"/>
      <c r="E117" s="401"/>
      <c r="F117" s="79"/>
      <c r="G117" s="388"/>
      <c r="H117" s="388"/>
      <c r="I117" s="398"/>
      <c r="J117" s="399"/>
    </row>
    <row r="118" spans="2:10" ht="15" hidden="1" customHeight="1">
      <c r="B118" s="31" t="s">
        <v>126</v>
      </c>
      <c r="C118" s="400"/>
      <c r="D118" s="401"/>
      <c r="E118" s="401"/>
      <c r="F118" s="79"/>
      <c r="G118" s="388"/>
      <c r="H118" s="388"/>
      <c r="I118" s="398"/>
      <c r="J118" s="399"/>
    </row>
    <row r="119" spans="2:10" ht="15" hidden="1" customHeight="1">
      <c r="B119" s="30" t="s">
        <v>4</v>
      </c>
      <c r="C119" s="400"/>
      <c r="D119" s="401"/>
      <c r="E119" s="401"/>
      <c r="F119" s="79"/>
      <c r="G119" s="388"/>
      <c r="H119" s="388"/>
      <c r="I119" s="398"/>
      <c r="J119" s="399"/>
    </row>
    <row r="120" spans="2:10" ht="15" hidden="1" customHeight="1">
      <c r="B120" s="28" t="s">
        <v>5</v>
      </c>
      <c r="C120" s="400"/>
      <c r="D120" s="401"/>
      <c r="E120" s="401"/>
      <c r="F120" s="79"/>
      <c r="G120" s="388"/>
      <c r="H120" s="388"/>
      <c r="I120" s="398"/>
      <c r="J120" s="399"/>
    </row>
    <row r="121" spans="2:10" ht="25.5" hidden="1">
      <c r="B121" s="19" t="s">
        <v>95</v>
      </c>
      <c r="C121" s="400"/>
      <c r="D121" s="401"/>
      <c r="E121" s="401"/>
      <c r="F121" s="79"/>
      <c r="G121" s="388"/>
      <c r="H121" s="388"/>
      <c r="I121" s="398"/>
      <c r="J121" s="399"/>
    </row>
    <row r="122" spans="2:10" ht="15" hidden="1" customHeight="1">
      <c r="B122" s="31" t="s">
        <v>126</v>
      </c>
      <c r="C122" s="400"/>
      <c r="D122" s="401"/>
      <c r="E122" s="401"/>
      <c r="F122" s="79"/>
      <c r="G122" s="388"/>
      <c r="H122" s="388"/>
      <c r="I122" s="398"/>
      <c r="J122" s="399"/>
    </row>
    <row r="123" spans="2:10" ht="15" hidden="1" customHeight="1">
      <c r="B123" s="30" t="s">
        <v>4</v>
      </c>
      <c r="C123" s="400"/>
      <c r="D123" s="401"/>
      <c r="E123" s="401"/>
      <c r="F123" s="79"/>
      <c r="G123" s="388"/>
      <c r="H123" s="388"/>
      <c r="I123" s="398"/>
      <c r="J123" s="399"/>
    </row>
    <row r="124" spans="2:10" ht="15" hidden="1" customHeight="1">
      <c r="B124" s="28" t="s">
        <v>5</v>
      </c>
      <c r="C124" s="400"/>
      <c r="D124" s="401"/>
      <c r="E124" s="401"/>
      <c r="F124" s="79"/>
      <c r="G124" s="388"/>
      <c r="H124" s="388"/>
      <c r="I124" s="398"/>
      <c r="J124" s="399"/>
    </row>
    <row r="125" spans="2:10" ht="25.5" hidden="1">
      <c r="B125" s="19" t="s">
        <v>96</v>
      </c>
      <c r="C125" s="400"/>
      <c r="D125" s="401"/>
      <c r="E125" s="401"/>
      <c r="F125" s="79"/>
      <c r="G125" s="388"/>
      <c r="H125" s="388"/>
      <c r="I125" s="398"/>
      <c r="J125" s="399"/>
    </row>
    <row r="126" spans="2:10" ht="15" hidden="1" customHeight="1">
      <c r="B126" s="31" t="s">
        <v>126</v>
      </c>
      <c r="C126" s="400"/>
      <c r="D126" s="401"/>
      <c r="E126" s="401"/>
      <c r="F126" s="79"/>
      <c r="G126" s="388"/>
      <c r="H126" s="388"/>
      <c r="I126" s="398"/>
      <c r="J126" s="399"/>
    </row>
    <row r="127" spans="2:10" ht="15" hidden="1" customHeight="1">
      <c r="B127" s="30" t="s">
        <v>4</v>
      </c>
      <c r="C127" s="400"/>
      <c r="D127" s="401"/>
      <c r="E127" s="401"/>
      <c r="F127" s="79"/>
      <c r="G127" s="388"/>
      <c r="H127" s="388"/>
      <c r="I127" s="398"/>
      <c r="J127" s="399"/>
    </row>
    <row r="128" spans="2:10" ht="15" hidden="1" customHeight="1">
      <c r="B128" s="28" t="s">
        <v>5</v>
      </c>
      <c r="C128" s="400"/>
      <c r="D128" s="401"/>
      <c r="E128" s="401"/>
      <c r="F128" s="79"/>
      <c r="G128" s="388"/>
      <c r="H128" s="388"/>
      <c r="I128" s="398"/>
      <c r="J128" s="399"/>
    </row>
    <row r="129" spans="2:10" ht="25.5" hidden="1">
      <c r="B129" s="19" t="s">
        <v>97</v>
      </c>
      <c r="C129" s="400"/>
      <c r="D129" s="401"/>
      <c r="E129" s="401"/>
      <c r="F129" s="79"/>
      <c r="G129" s="388"/>
      <c r="H129" s="388"/>
      <c r="I129" s="398"/>
      <c r="J129" s="399"/>
    </row>
    <row r="130" spans="2:10" ht="15" hidden="1" customHeight="1">
      <c r="B130" s="31" t="s">
        <v>126</v>
      </c>
      <c r="C130" s="400"/>
      <c r="D130" s="401"/>
      <c r="E130" s="401"/>
      <c r="F130" s="79"/>
      <c r="G130" s="388"/>
      <c r="H130" s="388"/>
      <c r="I130" s="398"/>
      <c r="J130" s="399"/>
    </row>
    <row r="131" spans="2:10" ht="15" hidden="1" customHeight="1">
      <c r="B131" s="30" t="s">
        <v>4</v>
      </c>
      <c r="C131" s="400"/>
      <c r="D131" s="401"/>
      <c r="E131" s="401"/>
      <c r="F131" s="79"/>
      <c r="G131" s="388"/>
      <c r="H131" s="388"/>
      <c r="I131" s="398"/>
      <c r="J131" s="399"/>
    </row>
    <row r="132" spans="2:10" ht="15" hidden="1" customHeight="1">
      <c r="B132" s="28" t="s">
        <v>5</v>
      </c>
      <c r="C132" s="400"/>
      <c r="D132" s="401"/>
      <c r="E132" s="401"/>
      <c r="F132" s="79"/>
      <c r="G132" s="388"/>
      <c r="H132" s="388"/>
      <c r="I132" s="398"/>
      <c r="J132" s="399"/>
    </row>
    <row r="133" spans="2:10" ht="25.5" hidden="1">
      <c r="B133" s="19" t="s">
        <v>98</v>
      </c>
      <c r="C133" s="400"/>
      <c r="D133" s="401"/>
      <c r="E133" s="401"/>
      <c r="F133" s="79"/>
      <c r="G133" s="388"/>
      <c r="H133" s="388"/>
      <c r="I133" s="398"/>
      <c r="J133" s="399"/>
    </row>
    <row r="134" spans="2:10" ht="15" hidden="1" customHeight="1">
      <c r="B134" s="31" t="s">
        <v>126</v>
      </c>
      <c r="C134" s="400"/>
      <c r="D134" s="401"/>
      <c r="E134" s="401"/>
      <c r="F134" s="79"/>
      <c r="G134" s="388"/>
      <c r="H134" s="388"/>
      <c r="I134" s="398"/>
      <c r="J134" s="399"/>
    </row>
    <row r="135" spans="2:10" ht="15" hidden="1" customHeight="1">
      <c r="B135" s="30" t="s">
        <v>4</v>
      </c>
      <c r="C135" s="400"/>
      <c r="D135" s="401"/>
      <c r="E135" s="401"/>
      <c r="F135" s="79"/>
      <c r="G135" s="388"/>
      <c r="H135" s="388"/>
      <c r="I135" s="398"/>
      <c r="J135" s="399"/>
    </row>
    <row r="136" spans="2:10" ht="15" hidden="1" customHeight="1">
      <c r="B136" s="28" t="s">
        <v>5</v>
      </c>
      <c r="C136" s="400"/>
      <c r="D136" s="401"/>
      <c r="E136" s="401"/>
      <c r="F136" s="79"/>
      <c r="G136" s="388"/>
      <c r="H136" s="388"/>
      <c r="I136" s="398"/>
      <c r="J136" s="399"/>
    </row>
    <row r="137" spans="2:10" ht="25.5" hidden="1">
      <c r="B137" s="19" t="s">
        <v>99</v>
      </c>
      <c r="C137" s="400"/>
      <c r="D137" s="401"/>
      <c r="E137" s="401"/>
      <c r="F137" s="79"/>
      <c r="G137" s="388"/>
      <c r="H137" s="388"/>
      <c r="I137" s="398"/>
      <c r="J137" s="399"/>
    </row>
    <row r="138" spans="2:10" ht="15" hidden="1" customHeight="1">
      <c r="B138" s="31" t="s">
        <v>126</v>
      </c>
      <c r="C138" s="400"/>
      <c r="D138" s="401"/>
      <c r="E138" s="401"/>
      <c r="F138" s="79"/>
      <c r="G138" s="388"/>
      <c r="H138" s="388"/>
      <c r="I138" s="398"/>
      <c r="J138" s="399"/>
    </row>
    <row r="139" spans="2:10" ht="15" hidden="1" customHeight="1">
      <c r="B139" s="30" t="s">
        <v>4</v>
      </c>
      <c r="C139" s="400"/>
      <c r="D139" s="401"/>
      <c r="E139" s="401"/>
      <c r="F139" s="79"/>
      <c r="G139" s="388"/>
      <c r="H139" s="388"/>
      <c r="I139" s="398"/>
      <c r="J139" s="399"/>
    </row>
    <row r="140" spans="2:10" ht="15" hidden="1" customHeight="1">
      <c r="B140" s="30" t="s">
        <v>5</v>
      </c>
      <c r="C140" s="400"/>
      <c r="D140" s="401"/>
      <c r="E140" s="401"/>
      <c r="F140" s="79"/>
      <c r="G140" s="388"/>
      <c r="H140" s="388"/>
      <c r="I140" s="398"/>
      <c r="J140" s="399"/>
    </row>
    <row r="141" spans="2:10" ht="15" hidden="1" customHeight="1">
      <c r="B141" s="28" t="s">
        <v>8</v>
      </c>
      <c r="C141" s="400"/>
      <c r="D141" s="401"/>
      <c r="E141" s="401"/>
      <c r="F141" s="79"/>
      <c r="G141" s="388"/>
      <c r="H141" s="388"/>
      <c r="I141" s="398"/>
      <c r="J141" s="399"/>
    </row>
    <row r="142" spans="2:10" hidden="1">
      <c r="B142" s="19" t="s">
        <v>100</v>
      </c>
      <c r="C142" s="400"/>
      <c r="D142" s="401"/>
      <c r="E142" s="401"/>
      <c r="F142" s="79"/>
      <c r="G142" s="388"/>
      <c r="H142" s="388"/>
      <c r="I142" s="398"/>
      <c r="J142" s="399"/>
    </row>
    <row r="143" spans="2:10" ht="15" hidden="1" customHeight="1">
      <c r="B143" s="31" t="s">
        <v>126</v>
      </c>
      <c r="C143" s="400"/>
      <c r="D143" s="401"/>
      <c r="E143" s="401"/>
      <c r="F143" s="79"/>
      <c r="G143" s="388"/>
      <c r="H143" s="388"/>
      <c r="I143" s="398"/>
      <c r="J143" s="399"/>
    </row>
    <row r="144" spans="2:10" ht="15" hidden="1" customHeight="1">
      <c r="B144" s="30" t="s">
        <v>4</v>
      </c>
      <c r="C144" s="400"/>
      <c r="D144" s="401"/>
      <c r="E144" s="401"/>
      <c r="F144" s="79"/>
      <c r="G144" s="388"/>
      <c r="H144" s="388"/>
      <c r="I144" s="398"/>
      <c r="J144" s="399"/>
    </row>
    <row r="145" spans="2:10" ht="15" hidden="1" customHeight="1">
      <c r="B145" s="30" t="s">
        <v>5</v>
      </c>
      <c r="C145" s="400"/>
      <c r="D145" s="401"/>
      <c r="E145" s="401"/>
      <c r="F145" s="79"/>
      <c r="G145" s="388"/>
      <c r="H145" s="388"/>
      <c r="I145" s="398"/>
      <c r="J145" s="399"/>
    </row>
    <row r="146" spans="2:10" ht="15" hidden="1" customHeight="1">
      <c r="B146" s="28" t="s">
        <v>8</v>
      </c>
      <c r="C146" s="400"/>
      <c r="D146" s="401"/>
      <c r="E146" s="401"/>
      <c r="F146" s="79"/>
      <c r="G146" s="388"/>
      <c r="H146" s="388"/>
      <c r="I146" s="398"/>
      <c r="J146" s="399"/>
    </row>
    <row r="147" spans="2:10" hidden="1">
      <c r="B147" s="19" t="s">
        <v>101</v>
      </c>
      <c r="C147" s="400"/>
      <c r="D147" s="401"/>
      <c r="E147" s="401"/>
      <c r="F147" s="79"/>
      <c r="G147" s="388"/>
      <c r="H147" s="388"/>
      <c r="I147" s="398"/>
      <c r="J147" s="399"/>
    </row>
    <row r="148" spans="2:10" ht="15" hidden="1" customHeight="1">
      <c r="B148" s="31" t="s">
        <v>126</v>
      </c>
      <c r="C148" s="400"/>
      <c r="D148" s="401"/>
      <c r="E148" s="401"/>
      <c r="F148" s="79"/>
      <c r="G148" s="388"/>
      <c r="H148" s="388"/>
      <c r="I148" s="398"/>
      <c r="J148" s="399"/>
    </row>
    <row r="149" spans="2:10" ht="15" hidden="1" customHeight="1">
      <c r="B149" s="30" t="s">
        <v>4</v>
      </c>
      <c r="C149" s="400"/>
      <c r="D149" s="401"/>
      <c r="E149" s="401"/>
      <c r="F149" s="79"/>
      <c r="G149" s="388"/>
      <c r="H149" s="388"/>
      <c r="I149" s="398"/>
      <c r="J149" s="399"/>
    </row>
    <row r="150" spans="2:10" ht="15" hidden="1" customHeight="1">
      <c r="B150" s="30" t="s">
        <v>5</v>
      </c>
      <c r="C150" s="400"/>
      <c r="D150" s="401"/>
      <c r="E150" s="401"/>
      <c r="F150" s="79"/>
      <c r="G150" s="388"/>
      <c r="H150" s="388"/>
      <c r="I150" s="398"/>
      <c r="J150" s="399"/>
    </row>
    <row r="151" spans="2:10" ht="15" hidden="1" customHeight="1">
      <c r="B151" s="28" t="s">
        <v>8</v>
      </c>
      <c r="C151" s="402"/>
      <c r="D151" s="403"/>
      <c r="E151" s="403"/>
      <c r="F151" s="279"/>
      <c r="G151" s="320"/>
      <c r="H151" s="320"/>
      <c r="I151" s="337"/>
      <c r="J151" s="404"/>
    </row>
    <row r="152" spans="2:10" hidden="1">
      <c r="B152" s="306" t="s">
        <v>54</v>
      </c>
      <c r="C152" s="307"/>
      <c r="D152" s="307"/>
      <c r="E152" s="307"/>
      <c r="F152" s="307"/>
      <c r="G152" s="307"/>
      <c r="H152" s="307"/>
      <c r="I152" s="307"/>
      <c r="J152" s="308"/>
    </row>
    <row r="153" spans="2:10" ht="25.5" hidden="1">
      <c r="B153" s="32" t="s">
        <v>102</v>
      </c>
      <c r="C153" s="412"/>
      <c r="D153" s="340"/>
      <c r="E153" s="340"/>
      <c r="F153" s="133"/>
      <c r="G153" s="323"/>
      <c r="H153" s="323"/>
      <c r="I153" s="338"/>
      <c r="J153" s="344"/>
    </row>
    <row r="154" spans="2:10" ht="15" hidden="1" customHeight="1">
      <c r="B154" s="31" t="s">
        <v>126</v>
      </c>
      <c r="C154" s="410"/>
      <c r="D154" s="411"/>
      <c r="E154" s="411"/>
      <c r="F154" s="276"/>
      <c r="G154" s="389"/>
      <c r="H154" s="389"/>
      <c r="I154" s="408"/>
      <c r="J154" s="409"/>
    </row>
    <row r="155" spans="2:10" ht="15" hidden="1" customHeight="1">
      <c r="B155" s="30" t="s">
        <v>4</v>
      </c>
      <c r="C155" s="410"/>
      <c r="D155" s="411"/>
      <c r="E155" s="411"/>
      <c r="F155" s="276"/>
      <c r="G155" s="389"/>
      <c r="H155" s="389"/>
      <c r="I155" s="408"/>
      <c r="J155" s="409"/>
    </row>
    <row r="156" spans="2:10" ht="15" hidden="1" customHeight="1">
      <c r="B156" s="30" t="s">
        <v>5</v>
      </c>
      <c r="C156" s="410"/>
      <c r="D156" s="411"/>
      <c r="E156" s="411"/>
      <c r="F156" s="276"/>
      <c r="G156" s="389"/>
      <c r="H156" s="389"/>
      <c r="I156" s="408"/>
      <c r="J156" s="409"/>
    </row>
    <row r="157" spans="2:10" ht="15" hidden="1" customHeight="1">
      <c r="B157" s="28" t="s">
        <v>128</v>
      </c>
      <c r="C157" s="391"/>
      <c r="D157" s="393"/>
      <c r="E157" s="393"/>
      <c r="F157" s="78"/>
      <c r="G157" s="387"/>
      <c r="H157" s="387"/>
      <c r="I157" s="397"/>
      <c r="J157" s="395"/>
    </row>
    <row r="158" spans="2:10" ht="51" hidden="1">
      <c r="B158" s="19" t="s">
        <v>103</v>
      </c>
      <c r="C158" s="390"/>
      <c r="D158" s="392"/>
      <c r="E158" s="392"/>
      <c r="F158" s="77"/>
      <c r="G158" s="386"/>
      <c r="H158" s="386"/>
      <c r="I158" s="396"/>
      <c r="J158" s="394"/>
    </row>
    <row r="159" spans="2:10" ht="15" hidden="1" customHeight="1">
      <c r="B159" s="31" t="s">
        <v>126</v>
      </c>
      <c r="C159" s="410"/>
      <c r="D159" s="411"/>
      <c r="E159" s="411"/>
      <c r="F159" s="276"/>
      <c r="G159" s="389"/>
      <c r="H159" s="389"/>
      <c r="I159" s="408"/>
      <c r="J159" s="409"/>
    </row>
    <row r="160" spans="2:10" ht="15" hidden="1" customHeight="1">
      <c r="B160" s="30" t="s">
        <v>4</v>
      </c>
      <c r="C160" s="410"/>
      <c r="D160" s="411"/>
      <c r="E160" s="411"/>
      <c r="F160" s="276"/>
      <c r="G160" s="389"/>
      <c r="H160" s="389"/>
      <c r="I160" s="408"/>
      <c r="J160" s="409"/>
    </row>
    <row r="161" spans="2:10" ht="15" hidden="1" customHeight="1">
      <c r="B161" s="30" t="s">
        <v>5</v>
      </c>
      <c r="C161" s="410"/>
      <c r="D161" s="411"/>
      <c r="E161" s="411"/>
      <c r="F161" s="276"/>
      <c r="G161" s="389"/>
      <c r="H161" s="389"/>
      <c r="I161" s="408"/>
      <c r="J161" s="409"/>
    </row>
    <row r="162" spans="2:10" ht="15" hidden="1" customHeight="1">
      <c r="B162" s="28" t="s">
        <v>129</v>
      </c>
      <c r="C162" s="391"/>
      <c r="D162" s="393"/>
      <c r="E162" s="393"/>
      <c r="F162" s="78"/>
      <c r="G162" s="387"/>
      <c r="H162" s="387"/>
      <c r="I162" s="397"/>
      <c r="J162" s="395"/>
    </row>
    <row r="163" spans="2:10" ht="38.25" hidden="1">
      <c r="B163" s="19" t="s">
        <v>104</v>
      </c>
      <c r="C163" s="390"/>
      <c r="D163" s="392"/>
      <c r="E163" s="392"/>
      <c r="F163" s="77"/>
      <c r="G163" s="386"/>
      <c r="H163" s="386"/>
      <c r="I163" s="396"/>
      <c r="J163" s="394"/>
    </row>
    <row r="164" spans="2:10" ht="15" hidden="1" customHeight="1">
      <c r="B164" s="31" t="s">
        <v>126</v>
      </c>
      <c r="C164" s="410"/>
      <c r="D164" s="411"/>
      <c r="E164" s="411"/>
      <c r="F164" s="276"/>
      <c r="G164" s="389"/>
      <c r="H164" s="389"/>
      <c r="I164" s="408"/>
      <c r="J164" s="409"/>
    </row>
    <row r="165" spans="2:10" ht="15" hidden="1" customHeight="1">
      <c r="B165" s="30" t="s">
        <v>4</v>
      </c>
      <c r="C165" s="410"/>
      <c r="D165" s="411"/>
      <c r="E165" s="411"/>
      <c r="F165" s="276"/>
      <c r="G165" s="389"/>
      <c r="H165" s="389"/>
      <c r="I165" s="408"/>
      <c r="J165" s="409"/>
    </row>
    <row r="166" spans="2:10" ht="15" hidden="1" customHeight="1">
      <c r="B166" s="28" t="s">
        <v>5</v>
      </c>
      <c r="C166" s="391"/>
      <c r="D166" s="393"/>
      <c r="E166" s="393"/>
      <c r="F166" s="78"/>
      <c r="G166" s="387"/>
      <c r="H166" s="387"/>
      <c r="I166" s="397"/>
      <c r="J166" s="395"/>
    </row>
    <row r="167" spans="2:10" ht="25.5" hidden="1">
      <c r="B167" s="19" t="s">
        <v>135</v>
      </c>
      <c r="C167" s="390"/>
      <c r="D167" s="392"/>
      <c r="E167" s="392"/>
      <c r="F167" s="77"/>
      <c r="G167" s="386"/>
      <c r="H167" s="386"/>
      <c r="I167" s="396"/>
      <c r="J167" s="394"/>
    </row>
    <row r="168" spans="2:10" ht="15" hidden="1" customHeight="1">
      <c r="B168" s="31" t="s">
        <v>126</v>
      </c>
      <c r="C168" s="410"/>
      <c r="D168" s="411"/>
      <c r="E168" s="411"/>
      <c r="F168" s="276"/>
      <c r="G168" s="389"/>
      <c r="H168" s="389"/>
      <c r="I168" s="408"/>
      <c r="J168" s="409"/>
    </row>
    <row r="169" spans="2:10" ht="15" hidden="1" customHeight="1">
      <c r="B169" s="30" t="s">
        <v>4</v>
      </c>
      <c r="C169" s="410"/>
      <c r="D169" s="411"/>
      <c r="E169" s="411"/>
      <c r="F169" s="276"/>
      <c r="G169" s="389"/>
      <c r="H169" s="389"/>
      <c r="I169" s="408"/>
      <c r="J169" s="409"/>
    </row>
    <row r="170" spans="2:10" ht="15" hidden="1" customHeight="1">
      <c r="B170" s="28" t="s">
        <v>5</v>
      </c>
      <c r="C170" s="391"/>
      <c r="D170" s="393"/>
      <c r="E170" s="393"/>
      <c r="F170" s="78"/>
      <c r="G170" s="387"/>
      <c r="H170" s="387"/>
      <c r="I170" s="397"/>
      <c r="J170" s="395"/>
    </row>
    <row r="171" spans="2:10" ht="25.5" hidden="1">
      <c r="B171" s="19" t="s">
        <v>105</v>
      </c>
      <c r="C171" s="390"/>
      <c r="D171" s="392"/>
      <c r="E171" s="392"/>
      <c r="F171" s="77"/>
      <c r="G171" s="386"/>
      <c r="H171" s="386"/>
      <c r="I171" s="396"/>
      <c r="J171" s="394"/>
    </row>
    <row r="172" spans="2:10" ht="15" hidden="1" customHeight="1">
      <c r="B172" s="31" t="s">
        <v>126</v>
      </c>
      <c r="C172" s="410"/>
      <c r="D172" s="411"/>
      <c r="E172" s="411"/>
      <c r="F172" s="276"/>
      <c r="G172" s="389"/>
      <c r="H172" s="389"/>
      <c r="I172" s="408"/>
      <c r="J172" s="409"/>
    </row>
    <row r="173" spans="2:10" ht="15" hidden="1" customHeight="1">
      <c r="B173" s="30" t="s">
        <v>4</v>
      </c>
      <c r="C173" s="410"/>
      <c r="D173" s="411"/>
      <c r="E173" s="411"/>
      <c r="F173" s="276"/>
      <c r="G173" s="389"/>
      <c r="H173" s="389"/>
      <c r="I173" s="408"/>
      <c r="J173" s="409"/>
    </row>
    <row r="174" spans="2:10" ht="15" hidden="1" customHeight="1">
      <c r="B174" s="28" t="s">
        <v>5</v>
      </c>
      <c r="C174" s="391"/>
      <c r="D174" s="393"/>
      <c r="E174" s="393"/>
      <c r="F174" s="78"/>
      <c r="G174" s="387"/>
      <c r="H174" s="387"/>
      <c r="I174" s="397"/>
      <c r="J174" s="395"/>
    </row>
    <row r="175" spans="2:10" ht="25.5" hidden="1">
      <c r="B175" s="19" t="s">
        <v>106</v>
      </c>
      <c r="C175" s="390"/>
      <c r="D175" s="392"/>
      <c r="E175" s="392"/>
      <c r="F175" s="77"/>
      <c r="G175" s="386"/>
      <c r="H175" s="386"/>
      <c r="I175" s="396"/>
      <c r="J175" s="394"/>
    </row>
    <row r="176" spans="2:10" ht="15" hidden="1" customHeight="1">
      <c r="B176" s="31" t="s">
        <v>126</v>
      </c>
      <c r="C176" s="410"/>
      <c r="D176" s="411"/>
      <c r="E176" s="411"/>
      <c r="F176" s="276"/>
      <c r="G176" s="389"/>
      <c r="H176" s="389"/>
      <c r="I176" s="408"/>
      <c r="J176" s="409"/>
    </row>
    <row r="177" spans="2:10" ht="15" hidden="1" customHeight="1">
      <c r="B177" s="30" t="s">
        <v>4</v>
      </c>
      <c r="C177" s="410"/>
      <c r="D177" s="411"/>
      <c r="E177" s="411"/>
      <c r="F177" s="276"/>
      <c r="G177" s="389"/>
      <c r="H177" s="389"/>
      <c r="I177" s="408"/>
      <c r="J177" s="409"/>
    </row>
    <row r="178" spans="2:10" ht="15" hidden="1" customHeight="1">
      <c r="B178" s="28" t="s">
        <v>5</v>
      </c>
      <c r="C178" s="391"/>
      <c r="D178" s="393"/>
      <c r="E178" s="393"/>
      <c r="F178" s="78"/>
      <c r="G178" s="387"/>
      <c r="H178" s="387"/>
      <c r="I178" s="397"/>
      <c r="J178" s="395"/>
    </row>
    <row r="179" spans="2:10" ht="25.5" hidden="1">
      <c r="B179" s="19" t="s">
        <v>107</v>
      </c>
      <c r="C179" s="390"/>
      <c r="D179" s="392"/>
      <c r="E179" s="392"/>
      <c r="F179" s="77"/>
      <c r="G179" s="386"/>
      <c r="H179" s="386"/>
      <c r="I179" s="396"/>
      <c r="J179" s="394"/>
    </row>
    <row r="180" spans="2:10" hidden="1">
      <c r="B180" s="31" t="s">
        <v>126</v>
      </c>
      <c r="C180" s="410"/>
      <c r="D180" s="411"/>
      <c r="E180" s="411"/>
      <c r="F180" s="276"/>
      <c r="G180" s="389"/>
      <c r="H180" s="389"/>
      <c r="I180" s="408"/>
      <c r="J180" s="409"/>
    </row>
    <row r="181" spans="2:10" hidden="1">
      <c r="B181" s="30" t="s">
        <v>4</v>
      </c>
      <c r="C181" s="410"/>
      <c r="D181" s="411"/>
      <c r="E181" s="411"/>
      <c r="F181" s="276"/>
      <c r="G181" s="389"/>
      <c r="H181" s="389"/>
      <c r="I181" s="408"/>
      <c r="J181" s="409"/>
    </row>
    <row r="182" spans="2:10" hidden="1">
      <c r="B182" s="28" t="s">
        <v>5</v>
      </c>
      <c r="C182" s="391"/>
      <c r="D182" s="393"/>
      <c r="E182" s="393"/>
      <c r="F182" s="78"/>
      <c r="G182" s="387"/>
      <c r="H182" s="387"/>
      <c r="I182" s="397"/>
      <c r="J182" s="395"/>
    </row>
    <row r="183" spans="2:10" ht="25.5" hidden="1">
      <c r="B183" s="19" t="s">
        <v>108</v>
      </c>
      <c r="C183" s="390"/>
      <c r="D183" s="392"/>
      <c r="E183" s="392"/>
      <c r="F183" s="77"/>
      <c r="G183" s="386"/>
      <c r="H183" s="386"/>
      <c r="I183" s="396"/>
      <c r="J183" s="394"/>
    </row>
    <row r="184" spans="2:10" hidden="1">
      <c r="B184" s="31" t="s">
        <v>126</v>
      </c>
      <c r="C184" s="410"/>
      <c r="D184" s="411"/>
      <c r="E184" s="411"/>
      <c r="F184" s="276"/>
      <c r="G184" s="389"/>
      <c r="H184" s="389"/>
      <c r="I184" s="408"/>
      <c r="J184" s="409"/>
    </row>
    <row r="185" spans="2:10" hidden="1">
      <c r="B185" s="30" t="s">
        <v>4</v>
      </c>
      <c r="C185" s="410"/>
      <c r="D185" s="411"/>
      <c r="E185" s="411"/>
      <c r="F185" s="276"/>
      <c r="G185" s="389"/>
      <c r="H185" s="389"/>
      <c r="I185" s="408"/>
      <c r="J185" s="409"/>
    </row>
    <row r="186" spans="2:10" hidden="1">
      <c r="B186" s="30" t="s">
        <v>5</v>
      </c>
      <c r="C186" s="391"/>
      <c r="D186" s="393"/>
      <c r="E186" s="393"/>
      <c r="F186" s="78"/>
      <c r="G186" s="387"/>
      <c r="H186" s="387"/>
      <c r="I186" s="397"/>
      <c r="J186" s="395"/>
    </row>
    <row r="187" spans="2:10" hidden="1">
      <c r="B187" s="19" t="s">
        <v>109</v>
      </c>
      <c r="C187" s="390"/>
      <c r="D187" s="392"/>
      <c r="E187" s="392"/>
      <c r="F187" s="77"/>
      <c r="G187" s="386"/>
      <c r="H187" s="386"/>
      <c r="I187" s="396"/>
      <c r="J187" s="394"/>
    </row>
    <row r="188" spans="2:10" hidden="1">
      <c r="B188" s="31" t="s">
        <v>126</v>
      </c>
      <c r="C188" s="410"/>
      <c r="D188" s="411"/>
      <c r="E188" s="411"/>
      <c r="F188" s="276"/>
      <c r="G188" s="389"/>
      <c r="H188" s="389"/>
      <c r="I188" s="408"/>
      <c r="J188" s="409"/>
    </row>
    <row r="189" spans="2:10" hidden="1">
      <c r="B189" s="30" t="s">
        <v>4</v>
      </c>
      <c r="C189" s="410"/>
      <c r="D189" s="411"/>
      <c r="E189" s="411"/>
      <c r="F189" s="276"/>
      <c r="G189" s="389"/>
      <c r="H189" s="389"/>
      <c r="I189" s="408"/>
      <c r="J189" s="409"/>
    </row>
    <row r="190" spans="2:10" hidden="1">
      <c r="B190" s="28" t="s">
        <v>5</v>
      </c>
      <c r="C190" s="391"/>
      <c r="D190" s="393"/>
      <c r="E190" s="393"/>
      <c r="F190" s="78"/>
      <c r="G190" s="387"/>
      <c r="H190" s="387"/>
      <c r="I190" s="397"/>
      <c r="J190" s="395"/>
    </row>
    <row r="191" spans="2:10" ht="38.25" hidden="1">
      <c r="B191" s="19" t="s">
        <v>110</v>
      </c>
      <c r="C191" s="390"/>
      <c r="D191" s="392"/>
      <c r="E191" s="392"/>
      <c r="F191" s="77"/>
      <c r="G191" s="386"/>
      <c r="H191" s="386"/>
      <c r="I191" s="396"/>
      <c r="J191" s="394"/>
    </row>
    <row r="192" spans="2:10" hidden="1">
      <c r="B192" s="31" t="s">
        <v>126</v>
      </c>
      <c r="C192" s="410"/>
      <c r="D192" s="411"/>
      <c r="E192" s="411"/>
      <c r="F192" s="276"/>
      <c r="G192" s="389"/>
      <c r="H192" s="389"/>
      <c r="I192" s="408"/>
      <c r="J192" s="409"/>
    </row>
    <row r="193" spans="2:10" hidden="1">
      <c r="B193" s="30" t="s">
        <v>4</v>
      </c>
      <c r="C193" s="410"/>
      <c r="D193" s="411"/>
      <c r="E193" s="411"/>
      <c r="F193" s="276"/>
      <c r="G193" s="389"/>
      <c r="H193" s="389"/>
      <c r="I193" s="408"/>
      <c r="J193" s="409"/>
    </row>
    <row r="194" spans="2:10" hidden="1">
      <c r="B194" s="28" t="s">
        <v>5</v>
      </c>
      <c r="C194" s="391"/>
      <c r="D194" s="393"/>
      <c r="E194" s="393"/>
      <c r="F194" s="78"/>
      <c r="G194" s="387"/>
      <c r="H194" s="387"/>
      <c r="I194" s="397"/>
      <c r="J194" s="395"/>
    </row>
    <row r="195" spans="2:10" ht="25.5" hidden="1">
      <c r="B195" s="19" t="s">
        <v>111</v>
      </c>
      <c r="C195" s="390"/>
      <c r="D195" s="392"/>
      <c r="E195" s="392"/>
      <c r="F195" s="77"/>
      <c r="G195" s="386"/>
      <c r="H195" s="386"/>
      <c r="I195" s="396"/>
      <c r="J195" s="394"/>
    </row>
    <row r="196" spans="2:10" hidden="1">
      <c r="B196" s="31" t="s">
        <v>126</v>
      </c>
      <c r="C196" s="410"/>
      <c r="D196" s="411"/>
      <c r="E196" s="411"/>
      <c r="F196" s="276"/>
      <c r="G196" s="389"/>
      <c r="H196" s="389"/>
      <c r="I196" s="408"/>
      <c r="J196" s="409"/>
    </row>
    <row r="197" spans="2:10" hidden="1">
      <c r="B197" s="30" t="s">
        <v>4</v>
      </c>
      <c r="C197" s="410"/>
      <c r="D197" s="411"/>
      <c r="E197" s="411"/>
      <c r="F197" s="276"/>
      <c r="G197" s="389"/>
      <c r="H197" s="389"/>
      <c r="I197" s="408"/>
      <c r="J197" s="409"/>
    </row>
    <row r="198" spans="2:10" hidden="1">
      <c r="B198" s="28" t="s">
        <v>5</v>
      </c>
      <c r="C198" s="391"/>
      <c r="D198" s="393"/>
      <c r="E198" s="393"/>
      <c r="F198" s="78"/>
      <c r="G198" s="387"/>
      <c r="H198" s="387"/>
      <c r="I198" s="397"/>
      <c r="J198" s="395"/>
    </row>
    <row r="199" spans="2:10" ht="25.5" hidden="1">
      <c r="B199" s="19" t="s">
        <v>112</v>
      </c>
      <c r="C199" s="390"/>
      <c r="D199" s="392"/>
      <c r="E199" s="392"/>
      <c r="F199" s="77"/>
      <c r="G199" s="386"/>
      <c r="H199" s="386"/>
      <c r="I199" s="396"/>
      <c r="J199" s="394"/>
    </row>
    <row r="200" spans="2:10" hidden="1">
      <c r="B200" s="31" t="s">
        <v>126</v>
      </c>
      <c r="C200" s="410"/>
      <c r="D200" s="411"/>
      <c r="E200" s="411"/>
      <c r="F200" s="276"/>
      <c r="G200" s="389"/>
      <c r="H200" s="389"/>
      <c r="I200" s="408"/>
      <c r="J200" s="409"/>
    </row>
    <row r="201" spans="2:10" hidden="1">
      <c r="B201" s="30" t="s">
        <v>4</v>
      </c>
      <c r="C201" s="410"/>
      <c r="D201" s="411"/>
      <c r="E201" s="411"/>
      <c r="F201" s="276"/>
      <c r="G201" s="389"/>
      <c r="H201" s="389"/>
      <c r="I201" s="408"/>
      <c r="J201" s="409"/>
    </row>
    <row r="202" spans="2:10" hidden="1">
      <c r="B202" s="28" t="s">
        <v>5</v>
      </c>
      <c r="C202" s="391"/>
      <c r="D202" s="393"/>
      <c r="E202" s="393"/>
      <c r="F202" s="78"/>
      <c r="G202" s="387"/>
      <c r="H202" s="387"/>
      <c r="I202" s="397"/>
      <c r="J202" s="395"/>
    </row>
    <row r="203" spans="2:10" hidden="1">
      <c r="B203" s="306" t="s">
        <v>55</v>
      </c>
      <c r="C203" s="307"/>
      <c r="D203" s="307"/>
      <c r="E203" s="307"/>
      <c r="F203" s="307"/>
      <c r="G203" s="307"/>
      <c r="H203" s="307"/>
      <c r="I203" s="307"/>
      <c r="J203" s="308"/>
    </row>
    <row r="204" spans="2:10" ht="25.5" hidden="1">
      <c r="B204" s="33" t="s">
        <v>113</v>
      </c>
      <c r="C204" s="266"/>
      <c r="D204" s="267"/>
      <c r="E204" s="267"/>
      <c r="F204" s="267"/>
      <c r="G204" s="131"/>
      <c r="H204" s="268"/>
      <c r="I204" s="129"/>
      <c r="J204" s="280"/>
    </row>
    <row r="205" spans="2:10" ht="25.5" hidden="1">
      <c r="B205" s="38" t="s">
        <v>114</v>
      </c>
      <c r="C205" s="390"/>
      <c r="D205" s="392"/>
      <c r="E205" s="392"/>
      <c r="F205" s="77"/>
      <c r="G205" s="386"/>
      <c r="H205" s="386"/>
      <c r="I205" s="396"/>
      <c r="J205" s="394"/>
    </row>
    <row r="206" spans="2:10" hidden="1">
      <c r="B206" s="40" t="s">
        <v>130</v>
      </c>
      <c r="C206" s="391"/>
      <c r="D206" s="393"/>
      <c r="E206" s="393"/>
      <c r="F206" s="78"/>
      <c r="G206" s="387"/>
      <c r="H206" s="387"/>
      <c r="I206" s="397"/>
      <c r="J206" s="395"/>
    </row>
    <row r="207" spans="2:10" ht="25.5" hidden="1">
      <c r="B207" s="39" t="s">
        <v>115</v>
      </c>
      <c r="C207" s="390"/>
      <c r="D207" s="392"/>
      <c r="E207" s="392"/>
      <c r="F207" s="77"/>
      <c r="G207" s="386"/>
      <c r="H207" s="386"/>
      <c r="I207" s="396"/>
      <c r="J207" s="394"/>
    </row>
    <row r="208" spans="2:10" hidden="1">
      <c r="B208" s="40" t="s">
        <v>131</v>
      </c>
      <c r="C208" s="391"/>
      <c r="D208" s="393"/>
      <c r="E208" s="393"/>
      <c r="F208" s="78"/>
      <c r="G208" s="387"/>
      <c r="H208" s="387"/>
      <c r="I208" s="397"/>
      <c r="J208" s="395"/>
    </row>
    <row r="209" spans="2:10" ht="38.25" hidden="1">
      <c r="B209" s="39" t="s">
        <v>116</v>
      </c>
      <c r="C209" s="390"/>
      <c r="D209" s="392"/>
      <c r="E209" s="392"/>
      <c r="F209" s="77"/>
      <c r="G209" s="386"/>
      <c r="H209" s="386"/>
      <c r="I209" s="396"/>
      <c r="J209" s="394"/>
    </row>
    <row r="210" spans="2:10" hidden="1">
      <c r="B210" s="40" t="s">
        <v>132</v>
      </c>
      <c r="C210" s="391"/>
      <c r="D210" s="393"/>
      <c r="E210" s="393"/>
      <c r="F210" s="78"/>
      <c r="G210" s="387"/>
      <c r="H210" s="387"/>
      <c r="I210" s="397"/>
      <c r="J210" s="395"/>
    </row>
    <row r="211" spans="2:10" ht="38.25" hidden="1">
      <c r="B211" s="39" t="s">
        <v>117</v>
      </c>
      <c r="C211" s="390"/>
      <c r="D211" s="392"/>
      <c r="E211" s="392"/>
      <c r="F211" s="77"/>
      <c r="G211" s="386"/>
      <c r="H211" s="386"/>
      <c r="I211" s="396"/>
      <c r="J211" s="394"/>
    </row>
    <row r="212" spans="2:10" ht="15" hidden="1" customHeight="1">
      <c r="B212" s="40" t="s">
        <v>132</v>
      </c>
      <c r="C212" s="391"/>
      <c r="D212" s="393"/>
      <c r="E212" s="393"/>
      <c r="F212" s="78"/>
      <c r="G212" s="387"/>
      <c r="H212" s="387"/>
      <c r="I212" s="397"/>
      <c r="J212" s="395"/>
    </row>
    <row r="213" spans="2:10" ht="38.25" hidden="1">
      <c r="B213" s="34" t="s">
        <v>118</v>
      </c>
      <c r="C213" s="281"/>
      <c r="D213" s="279"/>
      <c r="E213" s="279"/>
      <c r="F213" s="279"/>
      <c r="G213" s="132"/>
      <c r="H213" s="282"/>
      <c r="I213" s="130"/>
      <c r="J213" s="283"/>
    </row>
  </sheetData>
  <sheetProtection password="CC18" sheet="1" objects="1" scenarios="1"/>
  <mergeCells count="389">
    <mergeCell ref="B34:J34"/>
    <mergeCell ref="B35:J35"/>
    <mergeCell ref="C37:C38"/>
    <mergeCell ref="I37:I38"/>
    <mergeCell ref="G37:G38"/>
    <mergeCell ref="E37:E38"/>
    <mergeCell ref="D37:D38"/>
    <mergeCell ref="J37:J38"/>
    <mergeCell ref="B2:B3"/>
    <mergeCell ref="B5:J5"/>
    <mergeCell ref="B7:B8"/>
    <mergeCell ref="C7:I7"/>
    <mergeCell ref="J7:J8"/>
    <mergeCell ref="B9:J9"/>
    <mergeCell ref="B32:D33"/>
    <mergeCell ref="B18:J18"/>
    <mergeCell ref="B22:J22"/>
    <mergeCell ref="B27:J27"/>
    <mergeCell ref="B12:J12"/>
    <mergeCell ref="B15:J15"/>
    <mergeCell ref="B25:J25"/>
    <mergeCell ref="H37:H38"/>
    <mergeCell ref="J43:J44"/>
    <mergeCell ref="J39:J40"/>
    <mergeCell ref="I43:I44"/>
    <mergeCell ref="G43:G44"/>
    <mergeCell ref="E43:E44"/>
    <mergeCell ref="D43:D44"/>
    <mergeCell ref="C43:C44"/>
    <mergeCell ref="J41:J42"/>
    <mergeCell ref="I41:I42"/>
    <mergeCell ref="G41:G42"/>
    <mergeCell ref="E41:E42"/>
    <mergeCell ref="D41:D42"/>
    <mergeCell ref="C39:C40"/>
    <mergeCell ref="D39:D40"/>
    <mergeCell ref="E39:E40"/>
    <mergeCell ref="G39:G40"/>
    <mergeCell ref="C41:C42"/>
    <mergeCell ref="I39:I40"/>
    <mergeCell ref="H39:H40"/>
    <mergeCell ref="H41:H42"/>
    <mergeCell ref="H43:H44"/>
    <mergeCell ref="B83:J83"/>
    <mergeCell ref="B100:J100"/>
    <mergeCell ref="B152:J152"/>
    <mergeCell ref="B203:J203"/>
    <mergeCell ref="D49:D50"/>
    <mergeCell ref="C49:C50"/>
    <mergeCell ref="I46:I47"/>
    <mergeCell ref="G46:G47"/>
    <mergeCell ref="E46:E47"/>
    <mergeCell ref="D46:D47"/>
    <mergeCell ref="C46:C47"/>
    <mergeCell ref="J46:J47"/>
    <mergeCell ref="J49:J50"/>
    <mergeCell ref="I51:I52"/>
    <mergeCell ref="G51:G52"/>
    <mergeCell ref="I56:I58"/>
    <mergeCell ref="G56:G58"/>
    <mergeCell ref="E56:E58"/>
    <mergeCell ref="D56:D58"/>
    <mergeCell ref="C56:C58"/>
    <mergeCell ref="I54:I55"/>
    <mergeCell ref="G54:G55"/>
    <mergeCell ref="E54:E55"/>
    <mergeCell ref="D54:D55"/>
    <mergeCell ref="C54:C55"/>
    <mergeCell ref="I49:I50"/>
    <mergeCell ref="G49:G50"/>
    <mergeCell ref="E49:E50"/>
    <mergeCell ref="B45:J45"/>
    <mergeCell ref="J59:J60"/>
    <mergeCell ref="I59:I60"/>
    <mergeCell ref="G59:G60"/>
    <mergeCell ref="E59:E60"/>
    <mergeCell ref="D59:D60"/>
    <mergeCell ref="E51:E52"/>
    <mergeCell ref="D51:D52"/>
    <mergeCell ref="C51:C52"/>
    <mergeCell ref="J56:J57"/>
    <mergeCell ref="C59:C60"/>
    <mergeCell ref="H46:H47"/>
    <mergeCell ref="H49:H50"/>
    <mergeCell ref="H51:H52"/>
    <mergeCell ref="H54:H55"/>
    <mergeCell ref="H56:H58"/>
    <mergeCell ref="H59:H60"/>
    <mergeCell ref="J65:J66"/>
    <mergeCell ref="I65:I66"/>
    <mergeCell ref="G65:G66"/>
    <mergeCell ref="E65:E66"/>
    <mergeCell ref="D65:D66"/>
    <mergeCell ref="C65:C66"/>
    <mergeCell ref="J63:J64"/>
    <mergeCell ref="J61:J62"/>
    <mergeCell ref="I63:I64"/>
    <mergeCell ref="G63:G64"/>
    <mergeCell ref="E63:E64"/>
    <mergeCell ref="D63:D64"/>
    <mergeCell ref="C63:C64"/>
    <mergeCell ref="I61:I62"/>
    <mergeCell ref="G61:G62"/>
    <mergeCell ref="E61:E62"/>
    <mergeCell ref="D61:D62"/>
    <mergeCell ref="C61:C62"/>
    <mergeCell ref="H61:H62"/>
    <mergeCell ref="H63:H64"/>
    <mergeCell ref="H65:H66"/>
    <mergeCell ref="C80:C81"/>
    <mergeCell ref="J75:J76"/>
    <mergeCell ref="I75:I76"/>
    <mergeCell ref="G75:G76"/>
    <mergeCell ref="E75:E76"/>
    <mergeCell ref="D75:D76"/>
    <mergeCell ref="C75:C76"/>
    <mergeCell ref="J80:J81"/>
    <mergeCell ref="I80:I81"/>
    <mergeCell ref="G80:G81"/>
    <mergeCell ref="E80:E81"/>
    <mergeCell ref="D80:D81"/>
    <mergeCell ref="H75:H76"/>
    <mergeCell ref="H80:H81"/>
    <mergeCell ref="C69:C70"/>
    <mergeCell ref="J67:J68"/>
    <mergeCell ref="I67:I68"/>
    <mergeCell ref="G67:G68"/>
    <mergeCell ref="E67:E68"/>
    <mergeCell ref="D67:D68"/>
    <mergeCell ref="C67:C68"/>
    <mergeCell ref="J69:J70"/>
    <mergeCell ref="I69:I70"/>
    <mergeCell ref="G69:G70"/>
    <mergeCell ref="E69:E70"/>
    <mergeCell ref="D69:D70"/>
    <mergeCell ref="H67:H68"/>
    <mergeCell ref="H69:H70"/>
    <mergeCell ref="J86:J87"/>
    <mergeCell ref="D90:D91"/>
    <mergeCell ref="C94:C95"/>
    <mergeCell ref="J92:J93"/>
    <mergeCell ref="I92:I93"/>
    <mergeCell ref="I86:I87"/>
    <mergeCell ref="G86:G87"/>
    <mergeCell ref="E86:E87"/>
    <mergeCell ref="D86:D87"/>
    <mergeCell ref="C86:C87"/>
    <mergeCell ref="J88:J89"/>
    <mergeCell ref="I88:I89"/>
    <mergeCell ref="G88:G89"/>
    <mergeCell ref="E88:E89"/>
    <mergeCell ref="D88:D89"/>
    <mergeCell ref="J94:J95"/>
    <mergeCell ref="I94:I95"/>
    <mergeCell ref="G94:G95"/>
    <mergeCell ref="E94:E95"/>
    <mergeCell ref="D94:D95"/>
    <mergeCell ref="C84:C85"/>
    <mergeCell ref="J98:J99"/>
    <mergeCell ref="J96:J97"/>
    <mergeCell ref="I98:I99"/>
    <mergeCell ref="I96:I97"/>
    <mergeCell ref="G98:G99"/>
    <mergeCell ref="G96:G97"/>
    <mergeCell ref="E98:E99"/>
    <mergeCell ref="E96:E97"/>
    <mergeCell ref="D98:D99"/>
    <mergeCell ref="D96:D97"/>
    <mergeCell ref="C98:C99"/>
    <mergeCell ref="C96:C97"/>
    <mergeCell ref="J84:J85"/>
    <mergeCell ref="I84:I85"/>
    <mergeCell ref="G84:G85"/>
    <mergeCell ref="E84:E85"/>
    <mergeCell ref="D84:D85"/>
    <mergeCell ref="C88:C89"/>
    <mergeCell ref="C90:C91"/>
    <mergeCell ref="J90:J91"/>
    <mergeCell ref="I90:I91"/>
    <mergeCell ref="G90:G91"/>
    <mergeCell ref="E90:E91"/>
    <mergeCell ref="C137:C141"/>
    <mergeCell ref="C142:C146"/>
    <mergeCell ref="D142:D146"/>
    <mergeCell ref="G92:G93"/>
    <mergeCell ref="E92:E93"/>
    <mergeCell ref="D92:D93"/>
    <mergeCell ref="C92:C93"/>
    <mergeCell ref="J175:J178"/>
    <mergeCell ref="I175:I178"/>
    <mergeCell ref="G175:G178"/>
    <mergeCell ref="E175:E178"/>
    <mergeCell ref="D175:D178"/>
    <mergeCell ref="C175:C178"/>
    <mergeCell ref="I153:I157"/>
    <mergeCell ref="G153:G157"/>
    <mergeCell ref="E153:E157"/>
    <mergeCell ref="D153:D157"/>
    <mergeCell ref="C153:C157"/>
    <mergeCell ref="J153:J157"/>
    <mergeCell ref="C163:C166"/>
    <mergeCell ref="I158:I162"/>
    <mergeCell ref="G158:G162"/>
    <mergeCell ref="E158:E162"/>
    <mergeCell ref="D158:D162"/>
    <mergeCell ref="C158:C162"/>
    <mergeCell ref="J158:J162"/>
    <mergeCell ref="J163:J166"/>
    <mergeCell ref="I163:I166"/>
    <mergeCell ref="G163:G166"/>
    <mergeCell ref="E163:E166"/>
    <mergeCell ref="D163:D166"/>
    <mergeCell ref="I179:I182"/>
    <mergeCell ref="J179:J182"/>
    <mergeCell ref="J171:J174"/>
    <mergeCell ref="I171:I174"/>
    <mergeCell ref="G171:G174"/>
    <mergeCell ref="E171:E174"/>
    <mergeCell ref="D171:D174"/>
    <mergeCell ref="C171:C174"/>
    <mergeCell ref="J167:J170"/>
    <mergeCell ref="I167:I170"/>
    <mergeCell ref="G167:G170"/>
    <mergeCell ref="E167:E170"/>
    <mergeCell ref="D167:D170"/>
    <mergeCell ref="C167:C170"/>
    <mergeCell ref="C183:C186"/>
    <mergeCell ref="D183:D186"/>
    <mergeCell ref="E183:E186"/>
    <mergeCell ref="G183:G186"/>
    <mergeCell ref="I183:I186"/>
    <mergeCell ref="J183:J186"/>
    <mergeCell ref="C179:C182"/>
    <mergeCell ref="D179:D182"/>
    <mergeCell ref="E179:E182"/>
    <mergeCell ref="G179:G182"/>
    <mergeCell ref="I187:I190"/>
    <mergeCell ref="J187:J190"/>
    <mergeCell ref="C191:C194"/>
    <mergeCell ref="D191:D194"/>
    <mergeCell ref="E191:E194"/>
    <mergeCell ref="G191:G194"/>
    <mergeCell ref="I191:I194"/>
    <mergeCell ref="J191:J194"/>
    <mergeCell ref="C187:C190"/>
    <mergeCell ref="D187:D190"/>
    <mergeCell ref="E187:E190"/>
    <mergeCell ref="G187:G190"/>
    <mergeCell ref="H187:H190"/>
    <mergeCell ref="H191:H194"/>
    <mergeCell ref="I195:I198"/>
    <mergeCell ref="J195:J198"/>
    <mergeCell ref="C199:C202"/>
    <mergeCell ref="D199:D202"/>
    <mergeCell ref="E199:E202"/>
    <mergeCell ref="G199:G202"/>
    <mergeCell ref="I199:I202"/>
    <mergeCell ref="J199:J202"/>
    <mergeCell ref="C195:C198"/>
    <mergeCell ref="D195:D198"/>
    <mergeCell ref="E195:E198"/>
    <mergeCell ref="G195:G198"/>
    <mergeCell ref="H195:H198"/>
    <mergeCell ref="H199:H202"/>
    <mergeCell ref="J137:J141"/>
    <mergeCell ref="I137:I141"/>
    <mergeCell ref="G137:G141"/>
    <mergeCell ref="E137:E141"/>
    <mergeCell ref="D137:D141"/>
    <mergeCell ref="E142:E146"/>
    <mergeCell ref="G142:G146"/>
    <mergeCell ref="I142:I146"/>
    <mergeCell ref="J142:J146"/>
    <mergeCell ref="H142:H146"/>
    <mergeCell ref="C147:C151"/>
    <mergeCell ref="D147:D151"/>
    <mergeCell ref="E147:E151"/>
    <mergeCell ref="G147:G151"/>
    <mergeCell ref="I147:I151"/>
    <mergeCell ref="J147:J151"/>
    <mergeCell ref="C133:C136"/>
    <mergeCell ref="J101:J104"/>
    <mergeCell ref="I101:I104"/>
    <mergeCell ref="G101:G104"/>
    <mergeCell ref="E101:E104"/>
    <mergeCell ref="D101:D104"/>
    <mergeCell ref="C101:C104"/>
    <mergeCell ref="C105:C108"/>
    <mergeCell ref="D105:D108"/>
    <mergeCell ref="E105:E108"/>
    <mergeCell ref="G105:G108"/>
    <mergeCell ref="I105:I108"/>
    <mergeCell ref="J105:J108"/>
    <mergeCell ref="J133:J136"/>
    <mergeCell ref="I133:I136"/>
    <mergeCell ref="G133:G136"/>
    <mergeCell ref="E133:E136"/>
    <mergeCell ref="D133:D136"/>
    <mergeCell ref="I109:I112"/>
    <mergeCell ref="J109:J112"/>
    <mergeCell ref="C113:C116"/>
    <mergeCell ref="D113:D116"/>
    <mergeCell ref="E113:E116"/>
    <mergeCell ref="G113:G116"/>
    <mergeCell ref="I113:I116"/>
    <mergeCell ref="J113:J116"/>
    <mergeCell ref="C109:C112"/>
    <mergeCell ref="D109:D112"/>
    <mergeCell ref="E109:E112"/>
    <mergeCell ref="G109:G112"/>
    <mergeCell ref="I117:I120"/>
    <mergeCell ref="J117:J120"/>
    <mergeCell ref="C121:C124"/>
    <mergeCell ref="D121:D124"/>
    <mergeCell ref="E121:E124"/>
    <mergeCell ref="G121:G124"/>
    <mergeCell ref="I121:I124"/>
    <mergeCell ref="J121:J124"/>
    <mergeCell ref="C117:C120"/>
    <mergeCell ref="D117:D120"/>
    <mergeCell ref="E117:E120"/>
    <mergeCell ref="G117:G120"/>
    <mergeCell ref="I125:I128"/>
    <mergeCell ref="J125:J128"/>
    <mergeCell ref="C129:C132"/>
    <mergeCell ref="D129:D132"/>
    <mergeCell ref="E129:E132"/>
    <mergeCell ref="G129:G132"/>
    <mergeCell ref="I129:I132"/>
    <mergeCell ref="J129:J132"/>
    <mergeCell ref="C125:C128"/>
    <mergeCell ref="D125:D128"/>
    <mergeCell ref="E125:E128"/>
    <mergeCell ref="G125:G128"/>
    <mergeCell ref="C211:C212"/>
    <mergeCell ref="C209:C210"/>
    <mergeCell ref="D209:D210"/>
    <mergeCell ref="J211:J212"/>
    <mergeCell ref="I211:I212"/>
    <mergeCell ref="G211:G212"/>
    <mergeCell ref="E211:E212"/>
    <mergeCell ref="D211:D212"/>
    <mergeCell ref="I205:I206"/>
    <mergeCell ref="J205:J206"/>
    <mergeCell ref="C205:C206"/>
    <mergeCell ref="D205:D206"/>
    <mergeCell ref="E205:E206"/>
    <mergeCell ref="G205:G206"/>
    <mergeCell ref="E209:E210"/>
    <mergeCell ref="G209:G210"/>
    <mergeCell ref="I209:I210"/>
    <mergeCell ref="J209:J210"/>
    <mergeCell ref="C207:C208"/>
    <mergeCell ref="D207:D208"/>
    <mergeCell ref="E207:E208"/>
    <mergeCell ref="G207:G208"/>
    <mergeCell ref="I207:I208"/>
    <mergeCell ref="J207:J208"/>
    <mergeCell ref="H84:H85"/>
    <mergeCell ref="H86:H87"/>
    <mergeCell ref="H88:H89"/>
    <mergeCell ref="H90:H91"/>
    <mergeCell ref="H92:H93"/>
    <mergeCell ref="H94:H95"/>
    <mergeCell ref="H96:H97"/>
    <mergeCell ref="H98:H99"/>
    <mergeCell ref="H101:H104"/>
    <mergeCell ref="H105:H108"/>
    <mergeCell ref="H109:H112"/>
    <mergeCell ref="H113:H116"/>
    <mergeCell ref="H117:H120"/>
    <mergeCell ref="H121:H124"/>
    <mergeCell ref="H125:H128"/>
    <mergeCell ref="H129:H132"/>
    <mergeCell ref="H133:H136"/>
    <mergeCell ref="H137:H141"/>
    <mergeCell ref="H205:H206"/>
    <mergeCell ref="H207:H208"/>
    <mergeCell ref="H209:H210"/>
    <mergeCell ref="H211:H212"/>
    <mergeCell ref="H147:H151"/>
    <mergeCell ref="H153:H157"/>
    <mergeCell ref="H158:H162"/>
    <mergeCell ref="H163:H166"/>
    <mergeCell ref="H167:H170"/>
    <mergeCell ref="H171:H174"/>
    <mergeCell ref="H175:H178"/>
    <mergeCell ref="H179:H182"/>
    <mergeCell ref="H183:H186"/>
  </mergeCells>
  <hyperlinks>
    <hyperlink ref="B38" r:id="rId1"/>
    <hyperlink ref="B40" r:id="rId2" display="www.p21.org"/>
    <hyperlink ref="B42" r:id="rId3" display="www.p21.org"/>
    <hyperlink ref="B44" r:id="rId4" display="www.p21.org"/>
    <hyperlink ref="B47" r:id="rId5" display="Link to historical data (School and District Profiles)"/>
    <hyperlink ref="B52" r:id="rId6"/>
    <hyperlink ref="B55" r:id="rId7"/>
    <hyperlink ref="B57" r:id="rId8"/>
    <hyperlink ref="B58" r:id="rId9"/>
    <hyperlink ref="B60" r:id="rId10" display="https://www.yourplanforcollege.org/Home/index.html"/>
    <hyperlink ref="B62" r:id="rId11"/>
    <hyperlink ref="B50" r:id="rId12"/>
    <hyperlink ref="B64" r:id="rId13"/>
    <hyperlink ref="B66" r:id="rId14" display="http://www.doe.mass.edu/ccr/alignment/"/>
    <hyperlink ref="B68" r:id="rId15"/>
    <hyperlink ref="B70" r:id="rId16"/>
    <hyperlink ref="B76" r:id="rId17" display="Linkto historical data (School &amp; District Profiles Graduates Attending Institutions of Higher Education Report)"/>
    <hyperlink ref="B81" r:id="rId18" display="Collegeboard.org"/>
    <hyperlink ref="B85" r:id="rId19"/>
    <hyperlink ref="B87" r:id="rId20"/>
    <hyperlink ref="B89" r:id="rId21"/>
    <hyperlink ref="B91" r:id="rId22"/>
    <hyperlink ref="B93" r:id="rId23"/>
    <hyperlink ref="B95" r:id="rId24"/>
    <hyperlink ref="B97" r:id="rId25"/>
    <hyperlink ref="B99" r:id="rId26"/>
    <hyperlink ref="B154" r:id="rId27" display="Safe and Supportive School Technical Assistance Center"/>
    <hyperlink ref="B155" r:id="rId28"/>
    <hyperlink ref="B156" r:id="rId29" display="Examining your School's Climate"/>
    <hyperlink ref="B159" r:id="rId30" display="Safe and Supportive School Technical Assistance Center"/>
    <hyperlink ref="B160" r:id="rId31"/>
    <hyperlink ref="B161" r:id="rId32" display="Examining your School's Climate"/>
    <hyperlink ref="B164" r:id="rId33" display="Safe and Supportive School Technical Assistance Center"/>
    <hyperlink ref="B165" r:id="rId34"/>
    <hyperlink ref="B166" r:id="rId35" display="Examining your School's Climate"/>
    <hyperlink ref="B168" r:id="rId36" display="Safe and Supportive School Technical Assistance Center"/>
    <hyperlink ref="B169" r:id="rId37"/>
    <hyperlink ref="B170" r:id="rId38" display="Examining your School's Climate"/>
    <hyperlink ref="B172" r:id="rId39" display="Safe and Supportive School Technical Assistance Center"/>
    <hyperlink ref="B173" r:id="rId40"/>
    <hyperlink ref="B174" r:id="rId41" display="Examining your School's Climate"/>
    <hyperlink ref="B176" r:id="rId42" display="Safe and Supportive School Technical Assistance Center"/>
    <hyperlink ref="B177" r:id="rId43"/>
    <hyperlink ref="B178" r:id="rId44" display="Examining your School's Climate"/>
    <hyperlink ref="B180" r:id="rId45" display="Safe and Supportive School Technical Assistance Center"/>
    <hyperlink ref="B181" r:id="rId46"/>
    <hyperlink ref="B182" r:id="rId47" display="Examining your School's Climate"/>
    <hyperlink ref="B184" r:id="rId48" display="Safe and Supportive School Technical Assistance Center"/>
    <hyperlink ref="B185" r:id="rId49"/>
    <hyperlink ref="B186" r:id="rId50" display="Examining your School's Climate"/>
    <hyperlink ref="B188" r:id="rId51" display="Safe and Supportive School Technical Assistance Center"/>
    <hyperlink ref="B189" r:id="rId52"/>
    <hyperlink ref="B190" r:id="rId53" display="Examining your School's Climate"/>
    <hyperlink ref="B192" r:id="rId54" display="Safe and Supportive School Technical Assistance Center"/>
    <hyperlink ref="B193" r:id="rId55"/>
    <hyperlink ref="B194" r:id="rId56" display="Examining your School's Climate"/>
    <hyperlink ref="B196" r:id="rId57" display="Safe and Supportive School Technical Assistance Center"/>
    <hyperlink ref="B197" r:id="rId58"/>
    <hyperlink ref="B198" r:id="rId59" display="Examining your School's Climate"/>
    <hyperlink ref="B200" r:id="rId60" display="Safe and Supportive School Technical Assistance Center"/>
    <hyperlink ref="B201" r:id="rId61"/>
    <hyperlink ref="B202" r:id="rId62" display="Examining your School's Climate"/>
    <hyperlink ref="B102" r:id="rId63" display="Safe and Supportive School Technical Assistance Center"/>
    <hyperlink ref="B103" r:id="rId64"/>
    <hyperlink ref="B104" r:id="rId65" display="Examining your School's Climate"/>
    <hyperlink ref="B106" r:id="rId66" display="Safe and Supportive School Technical Assistance Center"/>
    <hyperlink ref="B107" r:id="rId67"/>
    <hyperlink ref="B108" r:id="rId68" display="Examining your School's Climate"/>
    <hyperlink ref="B110" r:id="rId69" display="Safe and Supportive School Technical Assistance Center"/>
    <hyperlink ref="B111" r:id="rId70"/>
    <hyperlink ref="B112" r:id="rId71" display="Examining your School's Climate"/>
    <hyperlink ref="B114" r:id="rId72" display="Safe and Supportive School Technical Assistance Center"/>
    <hyperlink ref="B115" r:id="rId73"/>
    <hyperlink ref="B116" r:id="rId74" display="Examining your School's Climate"/>
    <hyperlink ref="B118" r:id="rId75" display="Safe and Supportive School Technical Assistance Center"/>
    <hyperlink ref="B119" r:id="rId76"/>
    <hyperlink ref="B120" r:id="rId77" display="Examining your School's Climate"/>
    <hyperlink ref="B122" r:id="rId78" display="Safe and Supportive School Technical Assistance Center"/>
    <hyperlink ref="B123" r:id="rId79"/>
    <hyperlink ref="B124" r:id="rId80" display="Examining your School's Climate"/>
    <hyperlink ref="B126" r:id="rId81" display="Safe and Supportive School Technical Assistance Center"/>
    <hyperlink ref="B127" r:id="rId82"/>
    <hyperlink ref="B128" r:id="rId83" display="Examining your School's Climate"/>
    <hyperlink ref="B130" r:id="rId84" display="Safe and Supportive School Technical Assistance Center"/>
    <hyperlink ref="B131" r:id="rId85"/>
    <hyperlink ref="B132" r:id="rId86" display="Examining your School's Climate"/>
    <hyperlink ref="B134" r:id="rId87" display="Safe and Supportive School Technical Assistance Center"/>
    <hyperlink ref="B135" r:id="rId88"/>
    <hyperlink ref="B136" r:id="rId89" display="Examining your School's Climate"/>
    <hyperlink ref="B138" r:id="rId90" display="Safe and Supportive School Technical Assistance Center"/>
    <hyperlink ref="B139" r:id="rId91"/>
    <hyperlink ref="B140" r:id="rId92" display="Examining your School's Climate"/>
    <hyperlink ref="B143" r:id="rId93" display="Safe and Supportive School Technical Assistance Center"/>
    <hyperlink ref="B144" r:id="rId94"/>
    <hyperlink ref="B145" r:id="rId95" display="Examining your School's Climate"/>
    <hyperlink ref="B148" r:id="rId96" display="Safe and Supportive School Technical Assistance Center"/>
    <hyperlink ref="B149" r:id="rId97"/>
    <hyperlink ref="B150" r:id="rId98" display="Examining your School's Climate"/>
    <hyperlink ref="B141" r:id="rId99" display="Gallip Student Poll"/>
    <hyperlink ref="B146" r:id="rId100" display="Gallip Student Poll"/>
    <hyperlink ref="B151" r:id="rId101" display="Gallip Student Poll"/>
    <hyperlink ref="B157" r:id="rId102"/>
    <hyperlink ref="B162" r:id="rId103"/>
    <hyperlink ref="B208" r:id="rId104" display="DIBELS web site at the University of Oregon"/>
    <hyperlink ref="B210" r:id="rId105" display="GRADE Reading Assessment"/>
    <hyperlink ref="B212" r:id="rId106" display="GRADE Reading Assessment"/>
    <hyperlink ref="B206" r:id="rId107"/>
  </hyperlinks>
  <printOptions horizontalCentered="1"/>
  <pageMargins left="0.25" right="0.25" top="0.75" bottom="0.75" header="0.3" footer="0.3"/>
  <pageSetup scale="65" fitToHeight="5" orientation="landscape" r:id="rId108"/>
  <headerFooter>
    <oddFooter>&amp;L&amp;10Massachusetts Department of Elementary and Secondary Education&amp;R&amp;10Page &amp;P of &amp;N</oddFooter>
  </headerFooter>
</worksheet>
</file>

<file path=xl/worksheets/sheet5.xml><?xml version="1.0" encoding="utf-8"?>
<worksheet xmlns="http://schemas.openxmlformats.org/spreadsheetml/2006/main" xmlns:r="http://schemas.openxmlformats.org/officeDocument/2006/relationships">
  <dimension ref="A1:EG14"/>
  <sheetViews>
    <sheetView workbookViewId="0">
      <pane xSplit="10" ySplit="2" topLeftCell="DN3" activePane="bottomRight" state="frozen"/>
      <selection pane="topRight" activeCell="K1" sqref="K1"/>
      <selection pane="bottomLeft" activeCell="A3" sqref="A3"/>
      <selection pane="bottomRight" activeCell="ED13" sqref="ED13:EG14"/>
    </sheetView>
  </sheetViews>
  <sheetFormatPr defaultColWidth="8.85546875" defaultRowHeight="15"/>
  <cols>
    <col min="1" max="11" width="8.85546875" style="63"/>
    <col min="12" max="74" width="8.85546875" style="63" customWidth="1"/>
    <col min="75" max="83" width="8.85546875" style="63"/>
    <col min="84" max="137" width="8.85546875" style="63" customWidth="1"/>
    <col min="138" max="16384" width="8.85546875" style="63"/>
  </cols>
  <sheetData>
    <row r="1" spans="1:137" s="64" customFormat="1">
      <c r="A1" s="64">
        <v>1</v>
      </c>
      <c r="B1" s="64">
        <v>2</v>
      </c>
      <c r="C1" s="64">
        <v>3</v>
      </c>
      <c r="D1" s="64">
        <v>4</v>
      </c>
      <c r="E1" s="64">
        <v>5</v>
      </c>
      <c r="F1" s="64">
        <v>6</v>
      </c>
      <c r="G1" s="64">
        <v>7</v>
      </c>
      <c r="H1" s="64">
        <v>8</v>
      </c>
      <c r="I1" s="64">
        <v>9</v>
      </c>
      <c r="J1" s="64">
        <v>10</v>
      </c>
      <c r="K1" s="64">
        <v>11</v>
      </c>
      <c r="L1" s="64">
        <v>12</v>
      </c>
      <c r="M1" s="64">
        <v>13</v>
      </c>
      <c r="N1" s="64">
        <v>14</v>
      </c>
      <c r="O1" s="64">
        <v>15</v>
      </c>
      <c r="P1" s="64">
        <v>16</v>
      </c>
      <c r="Q1" s="64">
        <v>17</v>
      </c>
      <c r="R1" s="64">
        <v>18</v>
      </c>
      <c r="S1" s="64">
        <v>19</v>
      </c>
      <c r="T1" s="64">
        <v>20</v>
      </c>
      <c r="U1" s="64">
        <v>21</v>
      </c>
      <c r="V1" s="64">
        <v>22</v>
      </c>
      <c r="W1" s="64">
        <v>23</v>
      </c>
      <c r="X1" s="64">
        <v>24</v>
      </c>
      <c r="Y1" s="64">
        <v>25</v>
      </c>
      <c r="Z1" s="64">
        <v>26</v>
      </c>
      <c r="AA1" s="64">
        <v>27</v>
      </c>
      <c r="AB1" s="64">
        <v>28</v>
      </c>
      <c r="AC1" s="64">
        <v>29</v>
      </c>
      <c r="AD1" s="64">
        <v>30</v>
      </c>
      <c r="AE1" s="64">
        <v>31</v>
      </c>
      <c r="AF1" s="64">
        <v>32</v>
      </c>
      <c r="AG1" s="64">
        <v>33</v>
      </c>
      <c r="AH1" s="64">
        <v>34</v>
      </c>
      <c r="AI1" s="64">
        <v>35</v>
      </c>
      <c r="AJ1" s="64">
        <v>36</v>
      </c>
      <c r="AK1" s="64">
        <v>37</v>
      </c>
      <c r="AL1" s="64">
        <v>38</v>
      </c>
      <c r="AM1" s="64">
        <v>39</v>
      </c>
      <c r="AN1" s="64">
        <v>40</v>
      </c>
      <c r="AO1" s="64">
        <v>41</v>
      </c>
      <c r="AP1" s="64">
        <v>42</v>
      </c>
      <c r="AQ1" s="64">
        <v>43</v>
      </c>
      <c r="AR1" s="64">
        <v>44</v>
      </c>
      <c r="AS1" s="64">
        <v>45</v>
      </c>
      <c r="AT1" s="64">
        <v>46</v>
      </c>
      <c r="AU1" s="64">
        <v>47</v>
      </c>
      <c r="AV1" s="64">
        <v>48</v>
      </c>
      <c r="AW1" s="64">
        <v>49</v>
      </c>
      <c r="AX1" s="64">
        <v>50</v>
      </c>
      <c r="AY1" s="64">
        <v>51</v>
      </c>
      <c r="AZ1" s="64">
        <v>52</v>
      </c>
      <c r="BA1" s="64">
        <v>53</v>
      </c>
      <c r="BB1" s="64">
        <v>54</v>
      </c>
      <c r="BC1" s="64">
        <v>55</v>
      </c>
      <c r="BD1" s="64">
        <v>56</v>
      </c>
      <c r="BE1" s="64">
        <v>57</v>
      </c>
      <c r="BF1" s="64">
        <v>58</v>
      </c>
      <c r="BG1" s="64">
        <v>59</v>
      </c>
      <c r="BH1" s="64">
        <v>60</v>
      </c>
      <c r="BI1" s="64">
        <v>61</v>
      </c>
      <c r="BJ1" s="64">
        <v>62</v>
      </c>
      <c r="BK1" s="64">
        <v>63</v>
      </c>
      <c r="BL1" s="64">
        <v>64</v>
      </c>
      <c r="BM1" s="64">
        <v>65</v>
      </c>
      <c r="BN1" s="64">
        <v>66</v>
      </c>
      <c r="BO1" s="64">
        <v>67</v>
      </c>
      <c r="BP1" s="64">
        <v>68</v>
      </c>
      <c r="BQ1" s="64">
        <v>69</v>
      </c>
      <c r="BR1" s="64">
        <v>70</v>
      </c>
      <c r="BS1" s="64">
        <v>71</v>
      </c>
      <c r="BT1" s="64">
        <v>72</v>
      </c>
      <c r="BU1" s="64">
        <v>73</v>
      </c>
      <c r="BV1" s="64">
        <v>74</v>
      </c>
      <c r="BW1" s="64">
        <v>75</v>
      </c>
      <c r="BX1" s="64">
        <v>76</v>
      </c>
      <c r="BY1" s="64">
        <v>77</v>
      </c>
      <c r="BZ1" s="64">
        <v>78</v>
      </c>
      <c r="CA1" s="64">
        <v>79</v>
      </c>
      <c r="CB1" s="64">
        <v>80</v>
      </c>
      <c r="CC1" s="64">
        <v>81</v>
      </c>
      <c r="CD1" s="64">
        <v>82</v>
      </c>
      <c r="CE1" s="64">
        <v>83</v>
      </c>
      <c r="CF1" s="64">
        <v>84</v>
      </c>
      <c r="CG1" s="64">
        <v>85</v>
      </c>
      <c r="CH1" s="64">
        <v>86</v>
      </c>
      <c r="CI1" s="64">
        <v>87</v>
      </c>
      <c r="CJ1" s="64">
        <v>88</v>
      </c>
      <c r="CK1" s="64">
        <v>89</v>
      </c>
      <c r="CL1" s="64">
        <v>90</v>
      </c>
      <c r="CM1" s="64">
        <v>91</v>
      </c>
      <c r="CN1" s="64">
        <v>92</v>
      </c>
      <c r="CO1" s="64">
        <v>93</v>
      </c>
      <c r="CP1" s="64">
        <v>94</v>
      </c>
      <c r="CQ1" s="64">
        <v>95</v>
      </c>
      <c r="CR1" s="64">
        <v>96</v>
      </c>
      <c r="CS1" s="64">
        <v>97</v>
      </c>
      <c r="CT1" s="64">
        <v>98</v>
      </c>
      <c r="CU1" s="64">
        <v>99</v>
      </c>
      <c r="CV1" s="64">
        <v>100</v>
      </c>
      <c r="CW1" s="64">
        <v>101</v>
      </c>
      <c r="CX1" s="64">
        <v>102</v>
      </c>
      <c r="CY1" s="64">
        <v>103</v>
      </c>
      <c r="CZ1" s="64">
        <v>104</v>
      </c>
      <c r="DA1" s="64">
        <v>105</v>
      </c>
      <c r="DB1" s="64">
        <v>106</v>
      </c>
      <c r="DC1" s="64">
        <v>107</v>
      </c>
      <c r="DD1" s="64">
        <v>108</v>
      </c>
      <c r="DE1" s="64">
        <v>109</v>
      </c>
      <c r="DF1" s="64">
        <v>110</v>
      </c>
      <c r="DG1" s="64">
        <v>111</v>
      </c>
      <c r="DH1" s="64">
        <v>112</v>
      </c>
      <c r="DI1" s="64">
        <v>113</v>
      </c>
      <c r="DJ1" s="64">
        <v>114</v>
      </c>
      <c r="DK1" s="64">
        <v>115</v>
      </c>
      <c r="DL1" s="64">
        <v>116</v>
      </c>
      <c r="DM1" s="64">
        <v>117</v>
      </c>
      <c r="DN1" s="64">
        <v>118</v>
      </c>
      <c r="DO1" s="64">
        <v>119</v>
      </c>
      <c r="DP1" s="64">
        <v>120</v>
      </c>
      <c r="DQ1" s="64">
        <v>121</v>
      </c>
      <c r="DR1" s="64">
        <v>122</v>
      </c>
      <c r="DS1" s="64">
        <v>123</v>
      </c>
      <c r="DT1" s="64">
        <v>124</v>
      </c>
      <c r="DU1" s="64">
        <v>125</v>
      </c>
      <c r="DV1" s="64">
        <v>126</v>
      </c>
      <c r="DW1" s="64">
        <v>127</v>
      </c>
      <c r="DX1" s="64">
        <v>128</v>
      </c>
      <c r="DY1" s="64">
        <v>129</v>
      </c>
      <c r="DZ1" s="64">
        <v>130</v>
      </c>
      <c r="EA1" s="64">
        <v>131</v>
      </c>
      <c r="EB1" s="64">
        <v>132</v>
      </c>
      <c r="EC1" s="64">
        <v>133</v>
      </c>
      <c r="ED1" s="64">
        <v>134</v>
      </c>
      <c r="EE1" s="64">
        <v>135</v>
      </c>
      <c r="EF1" s="64">
        <v>136</v>
      </c>
      <c r="EG1" s="64">
        <v>137</v>
      </c>
    </row>
    <row r="2" spans="1:137" s="62" customFormat="1" ht="60">
      <c r="A2" s="55" t="s">
        <v>146</v>
      </c>
      <c r="B2" s="55" t="s">
        <v>9</v>
      </c>
      <c r="C2" s="55" t="s">
        <v>143</v>
      </c>
      <c r="D2" s="55" t="s">
        <v>10</v>
      </c>
      <c r="E2" s="55" t="s">
        <v>144</v>
      </c>
      <c r="F2" s="55" t="s">
        <v>149</v>
      </c>
      <c r="G2" s="55" t="s">
        <v>150</v>
      </c>
      <c r="H2" s="55" t="s">
        <v>145</v>
      </c>
      <c r="I2" s="55" t="s">
        <v>151</v>
      </c>
      <c r="J2" s="55" t="s">
        <v>146</v>
      </c>
      <c r="K2" s="55" t="s">
        <v>147</v>
      </c>
      <c r="L2" s="56" t="s">
        <v>152</v>
      </c>
      <c r="M2" s="56" t="s">
        <v>153</v>
      </c>
      <c r="N2" s="56" t="s">
        <v>208</v>
      </c>
      <c r="O2" s="56" t="s">
        <v>154</v>
      </c>
      <c r="P2" s="56" t="s">
        <v>211</v>
      </c>
      <c r="Q2" s="56" t="s">
        <v>155</v>
      </c>
      <c r="R2" s="56" t="s">
        <v>156</v>
      </c>
      <c r="S2" s="56" t="s">
        <v>157</v>
      </c>
      <c r="T2" s="56" t="s">
        <v>158</v>
      </c>
      <c r="U2" s="56" t="s">
        <v>159</v>
      </c>
      <c r="V2" s="56" t="s">
        <v>160</v>
      </c>
      <c r="W2" s="56" t="s">
        <v>209</v>
      </c>
      <c r="X2" s="56" t="s">
        <v>161</v>
      </c>
      <c r="Y2" s="56" t="s">
        <v>212</v>
      </c>
      <c r="Z2" s="56" t="s">
        <v>162</v>
      </c>
      <c r="AA2" s="56" t="s">
        <v>163</v>
      </c>
      <c r="AB2" s="56" t="s">
        <v>164</v>
      </c>
      <c r="AC2" s="56" t="s">
        <v>165</v>
      </c>
      <c r="AD2" s="56" t="s">
        <v>166</v>
      </c>
      <c r="AE2" s="56" t="s">
        <v>167</v>
      </c>
      <c r="AF2" s="56" t="s">
        <v>210</v>
      </c>
      <c r="AG2" s="56" t="s">
        <v>168</v>
      </c>
      <c r="AH2" s="56" t="s">
        <v>213</v>
      </c>
      <c r="AI2" s="56" t="s">
        <v>169</v>
      </c>
      <c r="AJ2" s="56" t="s">
        <v>170</v>
      </c>
      <c r="AK2" s="56" t="s">
        <v>171</v>
      </c>
      <c r="AL2" s="56" t="s">
        <v>172</v>
      </c>
      <c r="AM2" s="57" t="s">
        <v>173</v>
      </c>
      <c r="AN2" s="57" t="s">
        <v>180</v>
      </c>
      <c r="AO2" s="57" t="s">
        <v>274</v>
      </c>
      <c r="AP2" s="57" t="s">
        <v>174</v>
      </c>
      <c r="AQ2" s="57" t="s">
        <v>276</v>
      </c>
      <c r="AR2" s="57" t="s">
        <v>175</v>
      </c>
      <c r="AS2" s="57" t="s">
        <v>176</v>
      </c>
      <c r="AT2" s="57" t="s">
        <v>177</v>
      </c>
      <c r="AU2" s="57" t="s">
        <v>178</v>
      </c>
      <c r="AV2" s="57" t="s">
        <v>179</v>
      </c>
      <c r="AW2" s="57" t="s">
        <v>181</v>
      </c>
      <c r="AX2" s="57" t="s">
        <v>275</v>
      </c>
      <c r="AY2" s="57" t="s">
        <v>182</v>
      </c>
      <c r="AZ2" s="57" t="s">
        <v>277</v>
      </c>
      <c r="BA2" s="57" t="s">
        <v>183</v>
      </c>
      <c r="BB2" s="57" t="s">
        <v>184</v>
      </c>
      <c r="BC2" s="57" t="s">
        <v>185</v>
      </c>
      <c r="BD2" s="57" t="s">
        <v>186</v>
      </c>
      <c r="BE2" s="58" t="s">
        <v>187</v>
      </c>
      <c r="BF2" s="58" t="s">
        <v>188</v>
      </c>
      <c r="BG2" s="58" t="s">
        <v>273</v>
      </c>
      <c r="BH2" s="58" t="s">
        <v>189</v>
      </c>
      <c r="BI2" s="58" t="s">
        <v>272</v>
      </c>
      <c r="BJ2" s="58" t="s">
        <v>190</v>
      </c>
      <c r="BK2" s="58" t="s">
        <v>191</v>
      </c>
      <c r="BL2" s="58" t="s">
        <v>192</v>
      </c>
      <c r="BM2" s="58" t="s">
        <v>193</v>
      </c>
      <c r="BN2" s="59" t="s">
        <v>194</v>
      </c>
      <c r="BO2" s="59" t="s">
        <v>195</v>
      </c>
      <c r="BP2" s="59" t="s">
        <v>214</v>
      </c>
      <c r="BQ2" s="59" t="s">
        <v>196</v>
      </c>
      <c r="BR2" s="59" t="s">
        <v>216</v>
      </c>
      <c r="BS2" s="59" t="s">
        <v>197</v>
      </c>
      <c r="BT2" s="59" t="s">
        <v>198</v>
      </c>
      <c r="BU2" s="59" t="s">
        <v>199</v>
      </c>
      <c r="BV2" s="59" t="s">
        <v>200</v>
      </c>
      <c r="BW2" s="59" t="s">
        <v>201</v>
      </c>
      <c r="BX2" s="59" t="s">
        <v>202</v>
      </c>
      <c r="BY2" s="59" t="s">
        <v>215</v>
      </c>
      <c r="BZ2" s="59" t="s">
        <v>203</v>
      </c>
      <c r="CA2" s="59" t="s">
        <v>217</v>
      </c>
      <c r="CB2" s="59" t="s">
        <v>204</v>
      </c>
      <c r="CC2" s="59" t="s">
        <v>205</v>
      </c>
      <c r="CD2" s="59" t="s">
        <v>206</v>
      </c>
      <c r="CE2" s="59" t="s">
        <v>207</v>
      </c>
      <c r="CF2" s="60" t="s">
        <v>218</v>
      </c>
      <c r="CG2" s="60" t="s">
        <v>219</v>
      </c>
      <c r="CH2" s="60" t="s">
        <v>220</v>
      </c>
      <c r="CI2" s="60" t="s">
        <v>221</v>
      </c>
      <c r="CJ2" s="60" t="s">
        <v>222</v>
      </c>
      <c r="CK2" s="60" t="s">
        <v>223</v>
      </c>
      <c r="CL2" s="60" t="s">
        <v>224</v>
      </c>
      <c r="CM2" s="60" t="s">
        <v>225</v>
      </c>
      <c r="CN2" s="60" t="s">
        <v>226</v>
      </c>
      <c r="CO2" s="60" t="s">
        <v>227</v>
      </c>
      <c r="CP2" s="60" t="s">
        <v>228</v>
      </c>
      <c r="CQ2" s="60" t="s">
        <v>229</v>
      </c>
      <c r="CR2" s="60" t="s">
        <v>230</v>
      </c>
      <c r="CS2" s="60" t="s">
        <v>231</v>
      </c>
      <c r="CT2" s="60" t="s">
        <v>232</v>
      </c>
      <c r="CU2" s="60" t="s">
        <v>233</v>
      </c>
      <c r="CV2" s="60" t="s">
        <v>234</v>
      </c>
      <c r="CW2" s="60" t="s">
        <v>235</v>
      </c>
      <c r="CX2" s="60" t="s">
        <v>244</v>
      </c>
      <c r="CY2" s="60" t="s">
        <v>236</v>
      </c>
      <c r="CZ2" s="60" t="s">
        <v>237</v>
      </c>
      <c r="DA2" s="60" t="s">
        <v>238</v>
      </c>
      <c r="DB2" s="60" t="s">
        <v>239</v>
      </c>
      <c r="DC2" s="60" t="s">
        <v>240</v>
      </c>
      <c r="DD2" s="60" t="s">
        <v>241</v>
      </c>
      <c r="DE2" s="60" t="s">
        <v>242</v>
      </c>
      <c r="DF2" s="60" t="s">
        <v>243</v>
      </c>
      <c r="DG2" s="61" t="s">
        <v>245</v>
      </c>
      <c r="DH2" s="61" t="s">
        <v>246</v>
      </c>
      <c r="DI2" s="61" t="s">
        <v>247</v>
      </c>
      <c r="DJ2" s="61" t="s">
        <v>248</v>
      </c>
      <c r="DK2" s="61" t="s">
        <v>249</v>
      </c>
      <c r="DL2" s="61" t="s">
        <v>250</v>
      </c>
      <c r="DM2" s="61" t="s">
        <v>251</v>
      </c>
      <c r="DN2" s="61" t="s">
        <v>252</v>
      </c>
      <c r="DO2" s="61" t="s">
        <v>253</v>
      </c>
      <c r="DP2" s="61" t="s">
        <v>254</v>
      </c>
      <c r="DQ2" s="61" t="s">
        <v>255</v>
      </c>
      <c r="DR2" s="61" t="s">
        <v>256</v>
      </c>
      <c r="DS2" s="61" t="s">
        <v>257</v>
      </c>
      <c r="DT2" s="61" t="s">
        <v>258</v>
      </c>
      <c r="DU2" s="61" t="s">
        <v>259</v>
      </c>
      <c r="DV2" s="61" t="s">
        <v>260</v>
      </c>
      <c r="DW2" s="61" t="s">
        <v>261</v>
      </c>
      <c r="DX2" s="61" t="s">
        <v>262</v>
      </c>
      <c r="DY2" s="61" t="s">
        <v>263</v>
      </c>
      <c r="DZ2" s="61" t="s">
        <v>264</v>
      </c>
      <c r="EA2" s="61" t="s">
        <v>265</v>
      </c>
      <c r="EB2" s="61" t="s">
        <v>266</v>
      </c>
      <c r="EC2" s="61" t="s">
        <v>267</v>
      </c>
      <c r="ED2" s="61" t="s">
        <v>268</v>
      </c>
      <c r="EE2" s="61" t="s">
        <v>269</v>
      </c>
      <c r="EF2" s="61" t="s">
        <v>270</v>
      </c>
      <c r="EG2" s="61" t="s">
        <v>271</v>
      </c>
    </row>
    <row r="3" spans="1:137">
      <c r="A3" s="67" t="s">
        <v>289</v>
      </c>
      <c r="B3" s="67" t="s">
        <v>290</v>
      </c>
      <c r="C3" s="67" t="s">
        <v>287</v>
      </c>
      <c r="D3" s="67" t="s">
        <v>291</v>
      </c>
      <c r="E3" s="67" t="s">
        <v>288</v>
      </c>
      <c r="F3" s="67" t="s">
        <v>292</v>
      </c>
      <c r="G3" s="67" t="s">
        <v>286</v>
      </c>
      <c r="H3" s="67" t="s">
        <v>148</v>
      </c>
      <c r="I3" s="67" t="s">
        <v>45</v>
      </c>
      <c r="J3" s="67" t="s">
        <v>289</v>
      </c>
      <c r="K3" s="67" t="s">
        <v>284</v>
      </c>
      <c r="L3" s="67" t="s">
        <v>283</v>
      </c>
      <c r="M3" s="67" t="s">
        <v>283</v>
      </c>
      <c r="N3" s="67" t="s">
        <v>283</v>
      </c>
      <c r="O3" s="67" t="s">
        <v>283</v>
      </c>
      <c r="P3" s="67" t="s">
        <v>283</v>
      </c>
      <c r="Q3" s="67" t="s">
        <v>283</v>
      </c>
      <c r="R3" s="67" t="s">
        <v>283</v>
      </c>
      <c r="S3" s="67" t="s">
        <v>283</v>
      </c>
      <c r="T3" s="67" t="s">
        <v>283</v>
      </c>
      <c r="U3" s="67" t="s">
        <v>283</v>
      </c>
      <c r="V3" s="67" t="s">
        <v>283</v>
      </c>
      <c r="W3" s="67" t="s">
        <v>283</v>
      </c>
      <c r="X3" s="67" t="s">
        <v>283</v>
      </c>
      <c r="Y3" s="67" t="s">
        <v>283</v>
      </c>
      <c r="Z3" s="67" t="s">
        <v>283</v>
      </c>
      <c r="AA3" s="67" t="s">
        <v>283</v>
      </c>
      <c r="AB3" s="67" t="s">
        <v>283</v>
      </c>
      <c r="AC3" s="67" t="s">
        <v>283</v>
      </c>
      <c r="AD3" s="67" t="s">
        <v>283</v>
      </c>
      <c r="AE3" s="67" t="s">
        <v>283</v>
      </c>
      <c r="AF3" s="67" t="s">
        <v>283</v>
      </c>
      <c r="AG3" s="67" t="s">
        <v>283</v>
      </c>
      <c r="AH3" s="67" t="s">
        <v>283</v>
      </c>
      <c r="AI3" s="67" t="s">
        <v>283</v>
      </c>
      <c r="AJ3" s="67" t="s">
        <v>283</v>
      </c>
      <c r="AK3" s="67" t="s">
        <v>283</v>
      </c>
      <c r="AL3" s="67" t="s">
        <v>283</v>
      </c>
      <c r="AM3" s="67" t="s">
        <v>283</v>
      </c>
      <c r="AN3" s="67" t="s">
        <v>283</v>
      </c>
      <c r="AO3" s="67" t="s">
        <v>283</v>
      </c>
      <c r="AP3" s="67" t="s">
        <v>283</v>
      </c>
      <c r="AQ3" s="67" t="s">
        <v>283</v>
      </c>
      <c r="AR3" s="67" t="s">
        <v>283</v>
      </c>
      <c r="AS3" s="67" t="s">
        <v>283</v>
      </c>
      <c r="AT3" s="67" t="s">
        <v>283</v>
      </c>
      <c r="AU3" s="67" t="s">
        <v>283</v>
      </c>
      <c r="AV3" s="67" t="s">
        <v>283</v>
      </c>
      <c r="AW3" s="67" t="s">
        <v>283</v>
      </c>
      <c r="AX3" s="67" t="s">
        <v>283</v>
      </c>
      <c r="AY3" s="67" t="s">
        <v>283</v>
      </c>
      <c r="AZ3" s="67" t="s">
        <v>283</v>
      </c>
      <c r="BA3" s="67" t="s">
        <v>283</v>
      </c>
      <c r="BB3" s="67" t="s">
        <v>283</v>
      </c>
      <c r="BC3" s="67" t="s">
        <v>283</v>
      </c>
      <c r="BD3" s="67" t="s">
        <v>283</v>
      </c>
      <c r="BE3" s="67" t="s">
        <v>283</v>
      </c>
      <c r="BF3" s="67" t="s">
        <v>283</v>
      </c>
      <c r="BG3" s="67" t="s">
        <v>283</v>
      </c>
      <c r="BH3" s="67" t="s">
        <v>283</v>
      </c>
      <c r="BI3" s="67" t="s">
        <v>283</v>
      </c>
      <c r="BJ3" s="67" t="s">
        <v>283</v>
      </c>
      <c r="BK3" s="67" t="s">
        <v>283</v>
      </c>
      <c r="BL3" s="67" t="s">
        <v>283</v>
      </c>
      <c r="BM3" s="67" t="s">
        <v>283</v>
      </c>
      <c r="BN3" s="67" t="s">
        <v>283</v>
      </c>
      <c r="BO3" s="67" t="s">
        <v>283</v>
      </c>
      <c r="BP3" s="67" t="s">
        <v>283</v>
      </c>
      <c r="BQ3" s="67" t="s">
        <v>283</v>
      </c>
      <c r="BR3" s="67" t="s">
        <v>283</v>
      </c>
      <c r="BS3" s="67" t="s">
        <v>283</v>
      </c>
      <c r="BT3" s="67" t="s">
        <v>283</v>
      </c>
      <c r="BU3" s="67" t="s">
        <v>283</v>
      </c>
      <c r="BV3" s="67" t="s">
        <v>283</v>
      </c>
      <c r="BW3" s="67" t="s">
        <v>283</v>
      </c>
      <c r="BX3" s="67" t="s">
        <v>283</v>
      </c>
      <c r="BY3" s="67" t="s">
        <v>283</v>
      </c>
      <c r="BZ3" s="67" t="s">
        <v>283</v>
      </c>
      <c r="CA3" s="67" t="s">
        <v>283</v>
      </c>
      <c r="CB3" s="67" t="s">
        <v>283</v>
      </c>
      <c r="CC3" s="67" t="s">
        <v>283</v>
      </c>
      <c r="CD3" s="67" t="s">
        <v>283</v>
      </c>
      <c r="CE3" s="67" t="s">
        <v>283</v>
      </c>
      <c r="CF3" s="67" t="s">
        <v>283</v>
      </c>
      <c r="CG3" s="67" t="s">
        <v>283</v>
      </c>
      <c r="CH3" s="67" t="s">
        <v>283</v>
      </c>
      <c r="CI3" s="67" t="s">
        <v>283</v>
      </c>
      <c r="CJ3" s="67" t="s">
        <v>283</v>
      </c>
      <c r="CK3" s="147" t="s">
        <v>283</v>
      </c>
      <c r="CL3" s="147" t="s">
        <v>283</v>
      </c>
      <c r="CM3" s="147" t="s">
        <v>283</v>
      </c>
      <c r="CN3" s="147" t="s">
        <v>283</v>
      </c>
      <c r="CO3" s="147" t="s">
        <v>283</v>
      </c>
      <c r="CP3" s="147" t="s">
        <v>283</v>
      </c>
      <c r="CQ3" s="147" t="s">
        <v>283</v>
      </c>
      <c r="CR3" s="147" t="s">
        <v>283</v>
      </c>
      <c r="CS3" s="67" t="s">
        <v>283</v>
      </c>
      <c r="CT3" s="147" t="s">
        <v>283</v>
      </c>
      <c r="CU3" s="147" t="s">
        <v>283</v>
      </c>
      <c r="CV3" s="147" t="s">
        <v>283</v>
      </c>
      <c r="CW3" s="147" t="s">
        <v>283</v>
      </c>
      <c r="CX3" s="147" t="s">
        <v>283</v>
      </c>
      <c r="CY3" s="147" t="s">
        <v>283</v>
      </c>
      <c r="CZ3" s="147" t="s">
        <v>283</v>
      </c>
      <c r="DA3" s="147" t="s">
        <v>283</v>
      </c>
      <c r="DB3" s="67" t="s">
        <v>283</v>
      </c>
      <c r="DC3" s="147" t="s">
        <v>283</v>
      </c>
      <c r="DD3" s="147" t="s">
        <v>283</v>
      </c>
      <c r="DE3" s="147" t="s">
        <v>283</v>
      </c>
      <c r="DF3" s="147" t="s">
        <v>283</v>
      </c>
      <c r="DG3" s="147" t="s">
        <v>283</v>
      </c>
      <c r="DH3" s="147" t="s">
        <v>283</v>
      </c>
      <c r="DI3" s="147" t="s">
        <v>283</v>
      </c>
      <c r="DJ3" s="147" t="s">
        <v>283</v>
      </c>
      <c r="DK3" s="67" t="s">
        <v>283</v>
      </c>
      <c r="DL3" s="147" t="s">
        <v>283</v>
      </c>
      <c r="DM3" s="147" t="s">
        <v>283</v>
      </c>
      <c r="DN3" s="147" t="s">
        <v>283</v>
      </c>
      <c r="DO3" s="147" t="s">
        <v>283</v>
      </c>
      <c r="DP3" s="147" t="s">
        <v>283</v>
      </c>
      <c r="DQ3" s="147" t="s">
        <v>283</v>
      </c>
      <c r="DR3" s="147" t="s">
        <v>283</v>
      </c>
      <c r="DS3" s="147" t="s">
        <v>283</v>
      </c>
      <c r="DT3" s="67" t="s">
        <v>283</v>
      </c>
      <c r="DU3" s="147" t="s">
        <v>283</v>
      </c>
      <c r="DV3" s="147" t="s">
        <v>283</v>
      </c>
      <c r="DW3" s="147" t="s">
        <v>283</v>
      </c>
      <c r="DX3" s="147" t="s">
        <v>283</v>
      </c>
      <c r="DY3" s="147" t="s">
        <v>283</v>
      </c>
      <c r="DZ3" s="147" t="s">
        <v>283</v>
      </c>
      <c r="EA3" s="147" t="s">
        <v>283</v>
      </c>
      <c r="EB3" s="147" t="s">
        <v>283</v>
      </c>
      <c r="EC3" s="67" t="s">
        <v>283</v>
      </c>
      <c r="ED3" s="147" t="s">
        <v>283</v>
      </c>
      <c r="EE3" s="147" t="s">
        <v>283</v>
      </c>
      <c r="EF3" s="147" t="s">
        <v>283</v>
      </c>
      <c r="EG3" s="147" t="s">
        <v>283</v>
      </c>
    </row>
    <row r="4" spans="1:137">
      <c r="A4" s="67" t="s">
        <v>293</v>
      </c>
      <c r="B4" s="67" t="s">
        <v>294</v>
      </c>
      <c r="C4" s="67" t="s">
        <v>287</v>
      </c>
      <c r="D4" s="67" t="s">
        <v>291</v>
      </c>
      <c r="E4" s="67" t="s">
        <v>288</v>
      </c>
      <c r="F4" s="67" t="s">
        <v>292</v>
      </c>
      <c r="G4" s="67" t="s">
        <v>286</v>
      </c>
      <c r="H4" s="67" t="s">
        <v>148</v>
      </c>
      <c r="I4" s="67" t="s">
        <v>11</v>
      </c>
      <c r="J4" s="67" t="s">
        <v>293</v>
      </c>
      <c r="K4" s="67" t="s">
        <v>284</v>
      </c>
      <c r="L4" s="67">
        <v>63.1</v>
      </c>
      <c r="M4" s="67">
        <v>66.2</v>
      </c>
      <c r="N4" s="67">
        <v>57.9</v>
      </c>
      <c r="O4" s="67">
        <v>69.3</v>
      </c>
      <c r="P4" s="67">
        <v>75</v>
      </c>
      <c r="Q4" s="67">
        <v>72.3</v>
      </c>
      <c r="R4" s="67">
        <v>75.400000000000006</v>
      </c>
      <c r="S4" s="67">
        <v>78.5</v>
      </c>
      <c r="T4" s="67">
        <v>81.599999999999994</v>
      </c>
      <c r="U4" s="67">
        <v>66.7</v>
      </c>
      <c r="V4" s="67">
        <v>69.5</v>
      </c>
      <c r="W4" s="67">
        <v>56.6</v>
      </c>
      <c r="X4" s="67">
        <v>72.3</v>
      </c>
      <c r="Y4" s="67">
        <v>75</v>
      </c>
      <c r="Z4" s="67">
        <v>75</v>
      </c>
      <c r="AA4" s="67">
        <v>77.8</v>
      </c>
      <c r="AB4" s="67">
        <v>80.599999999999994</v>
      </c>
      <c r="AC4" s="67">
        <v>83.4</v>
      </c>
      <c r="AD4" s="67" t="s">
        <v>283</v>
      </c>
      <c r="AE4" s="67" t="s">
        <v>283</v>
      </c>
      <c r="AF4" s="67" t="s">
        <v>283</v>
      </c>
      <c r="AG4" s="67" t="s">
        <v>283</v>
      </c>
      <c r="AH4" s="67" t="s">
        <v>283</v>
      </c>
      <c r="AI4" s="67" t="s">
        <v>283</v>
      </c>
      <c r="AJ4" s="67" t="s">
        <v>283</v>
      </c>
      <c r="AK4" s="67" t="s">
        <v>283</v>
      </c>
      <c r="AL4" s="67" t="s">
        <v>283</v>
      </c>
      <c r="AM4" s="67" t="s">
        <v>283</v>
      </c>
      <c r="AN4" s="67" t="s">
        <v>283</v>
      </c>
      <c r="AO4" s="67" t="s">
        <v>283</v>
      </c>
      <c r="AP4" s="67" t="s">
        <v>283</v>
      </c>
      <c r="AQ4" s="67" t="s">
        <v>283</v>
      </c>
      <c r="AR4" s="67" t="s">
        <v>283</v>
      </c>
      <c r="AS4" s="67" t="s">
        <v>283</v>
      </c>
      <c r="AT4" s="67" t="s">
        <v>283</v>
      </c>
      <c r="AU4" s="67" t="s">
        <v>283</v>
      </c>
      <c r="AV4" s="67" t="s">
        <v>283</v>
      </c>
      <c r="AW4" s="67" t="s">
        <v>283</v>
      </c>
      <c r="AX4" s="67" t="s">
        <v>283</v>
      </c>
      <c r="AY4" s="67" t="s">
        <v>283</v>
      </c>
      <c r="AZ4" s="67" t="s">
        <v>283</v>
      </c>
      <c r="BA4" s="67" t="s">
        <v>283</v>
      </c>
      <c r="BB4" s="67" t="s">
        <v>283</v>
      </c>
      <c r="BC4" s="67" t="s">
        <v>283</v>
      </c>
      <c r="BD4" s="67" t="s">
        <v>283</v>
      </c>
      <c r="BE4" s="67" t="s">
        <v>283</v>
      </c>
      <c r="BF4" s="67" t="s">
        <v>283</v>
      </c>
      <c r="BG4" s="67" t="s">
        <v>283</v>
      </c>
      <c r="BH4" s="67" t="s">
        <v>283</v>
      </c>
      <c r="BI4" s="67" t="s">
        <v>283</v>
      </c>
      <c r="BJ4" s="67" t="s">
        <v>283</v>
      </c>
      <c r="BK4" s="67" t="s">
        <v>283</v>
      </c>
      <c r="BL4" s="67" t="s">
        <v>283</v>
      </c>
      <c r="BM4" s="67" t="s">
        <v>283</v>
      </c>
      <c r="BN4" s="67" t="s">
        <v>283</v>
      </c>
      <c r="BO4" s="67" t="s">
        <v>283</v>
      </c>
      <c r="BP4" s="67" t="s">
        <v>283</v>
      </c>
      <c r="BQ4" s="67" t="s">
        <v>283</v>
      </c>
      <c r="BR4" s="67" t="s">
        <v>283</v>
      </c>
      <c r="BS4" s="67" t="s">
        <v>283</v>
      </c>
      <c r="BT4" s="67" t="s">
        <v>283</v>
      </c>
      <c r="BU4" s="67" t="s">
        <v>283</v>
      </c>
      <c r="BV4" s="67" t="s">
        <v>283</v>
      </c>
      <c r="BW4" s="67" t="s">
        <v>283</v>
      </c>
      <c r="BX4" s="67" t="s">
        <v>283</v>
      </c>
      <c r="BY4" s="67" t="s">
        <v>283</v>
      </c>
      <c r="BZ4" s="67" t="s">
        <v>283</v>
      </c>
      <c r="CA4" s="67" t="s">
        <v>283</v>
      </c>
      <c r="CB4" s="67" t="s">
        <v>283</v>
      </c>
      <c r="CC4" s="67" t="s">
        <v>283</v>
      </c>
      <c r="CD4" s="67" t="s">
        <v>283</v>
      </c>
      <c r="CE4" s="67" t="s">
        <v>283</v>
      </c>
      <c r="CF4" s="147" t="s">
        <v>283</v>
      </c>
      <c r="CG4" s="147" t="s">
        <v>283</v>
      </c>
      <c r="CH4" s="147" t="s">
        <v>283</v>
      </c>
      <c r="CI4" s="147" t="s">
        <v>283</v>
      </c>
      <c r="CJ4" s="67">
        <v>0</v>
      </c>
      <c r="CK4" s="147" t="s">
        <v>349</v>
      </c>
      <c r="CL4" s="147" t="s">
        <v>349</v>
      </c>
      <c r="CM4" s="147" t="s">
        <v>349</v>
      </c>
      <c r="CN4" s="147" t="s">
        <v>349</v>
      </c>
      <c r="CO4" s="147" t="s">
        <v>283</v>
      </c>
      <c r="CP4" s="147" t="s">
        <v>283</v>
      </c>
      <c r="CQ4" s="147" t="s">
        <v>283</v>
      </c>
      <c r="CR4" s="147" t="s">
        <v>283</v>
      </c>
      <c r="CS4" s="67">
        <v>9.5</v>
      </c>
      <c r="CT4" s="147" t="s">
        <v>349</v>
      </c>
      <c r="CU4" s="147" t="s">
        <v>349</v>
      </c>
      <c r="CV4" s="147" t="s">
        <v>349</v>
      </c>
      <c r="CW4" s="147" t="s">
        <v>349</v>
      </c>
      <c r="CX4" s="147" t="s">
        <v>283</v>
      </c>
      <c r="CY4" s="147" t="s">
        <v>283</v>
      </c>
      <c r="CZ4" s="147" t="s">
        <v>283</v>
      </c>
      <c r="DA4" s="147" t="s">
        <v>283</v>
      </c>
      <c r="DB4" s="67" t="s">
        <v>283</v>
      </c>
      <c r="DC4" s="147" t="s">
        <v>283</v>
      </c>
      <c r="DD4" s="147" t="s">
        <v>283</v>
      </c>
      <c r="DE4" s="147" t="s">
        <v>283</v>
      </c>
      <c r="DF4" s="147" t="s">
        <v>283</v>
      </c>
      <c r="DG4" s="147" t="s">
        <v>283</v>
      </c>
      <c r="DH4" s="147" t="s">
        <v>283</v>
      </c>
      <c r="DI4" s="147" t="s">
        <v>283</v>
      </c>
      <c r="DJ4" s="147" t="s">
        <v>283</v>
      </c>
      <c r="DK4" s="67">
        <v>0</v>
      </c>
      <c r="DL4" s="147" t="s">
        <v>349</v>
      </c>
      <c r="DM4" s="147" t="s">
        <v>349</v>
      </c>
      <c r="DN4" s="147" t="s">
        <v>349</v>
      </c>
      <c r="DO4" s="147" t="s">
        <v>349</v>
      </c>
      <c r="DP4" s="147" t="s">
        <v>283</v>
      </c>
      <c r="DQ4" s="147" t="s">
        <v>283</v>
      </c>
      <c r="DR4" s="147" t="s">
        <v>283</v>
      </c>
      <c r="DS4" s="147" t="s">
        <v>283</v>
      </c>
      <c r="DT4" s="67">
        <v>19</v>
      </c>
      <c r="DU4" s="147" t="s">
        <v>349</v>
      </c>
      <c r="DV4" s="147" t="s">
        <v>349</v>
      </c>
      <c r="DW4" s="147" t="s">
        <v>349</v>
      </c>
      <c r="DX4" s="147" t="s">
        <v>349</v>
      </c>
      <c r="DY4" s="147" t="s">
        <v>283</v>
      </c>
      <c r="DZ4" s="147" t="s">
        <v>283</v>
      </c>
      <c r="EA4" s="147" t="s">
        <v>283</v>
      </c>
      <c r="EB4" s="147" t="s">
        <v>283</v>
      </c>
      <c r="EC4" s="67" t="s">
        <v>283</v>
      </c>
      <c r="ED4" s="147" t="s">
        <v>283</v>
      </c>
      <c r="EE4" s="147" t="s">
        <v>283</v>
      </c>
      <c r="EF4" s="147" t="s">
        <v>283</v>
      </c>
      <c r="EG4" s="147" t="s">
        <v>283</v>
      </c>
    </row>
    <row r="5" spans="1:137">
      <c r="A5" s="67" t="s">
        <v>295</v>
      </c>
      <c r="B5" s="67" t="s">
        <v>296</v>
      </c>
      <c r="C5" s="67" t="s">
        <v>287</v>
      </c>
      <c r="D5" s="67" t="s">
        <v>291</v>
      </c>
      <c r="E5" s="67" t="s">
        <v>288</v>
      </c>
      <c r="F5" s="67" t="s">
        <v>292</v>
      </c>
      <c r="G5" s="67" t="s">
        <v>286</v>
      </c>
      <c r="H5" s="67" t="s">
        <v>148</v>
      </c>
      <c r="I5" s="67" t="s">
        <v>17</v>
      </c>
      <c r="J5" s="67" t="s">
        <v>295</v>
      </c>
      <c r="K5" s="67" t="s">
        <v>284</v>
      </c>
      <c r="L5" s="67">
        <v>69.900000000000006</v>
      </c>
      <c r="M5" s="67">
        <v>72.400000000000006</v>
      </c>
      <c r="N5" s="67">
        <v>71.900000000000006</v>
      </c>
      <c r="O5" s="67">
        <v>74.900000000000006</v>
      </c>
      <c r="P5" s="67">
        <v>68.900000000000006</v>
      </c>
      <c r="Q5" s="67">
        <v>77.400000000000006</v>
      </c>
      <c r="R5" s="67">
        <v>79.900000000000006</v>
      </c>
      <c r="S5" s="67">
        <v>82.4</v>
      </c>
      <c r="T5" s="67">
        <v>85</v>
      </c>
      <c r="U5" s="67">
        <v>73.900000000000006</v>
      </c>
      <c r="V5" s="67">
        <v>76.099999999999994</v>
      </c>
      <c r="W5" s="67">
        <v>75.599999999999994</v>
      </c>
      <c r="X5" s="67">
        <v>78.3</v>
      </c>
      <c r="Y5" s="67">
        <v>76</v>
      </c>
      <c r="Z5" s="67">
        <v>80.400000000000006</v>
      </c>
      <c r="AA5" s="67">
        <v>82.6</v>
      </c>
      <c r="AB5" s="67">
        <v>84.8</v>
      </c>
      <c r="AC5" s="67">
        <v>87</v>
      </c>
      <c r="AD5" s="67">
        <v>58.7</v>
      </c>
      <c r="AE5" s="67">
        <v>62.1</v>
      </c>
      <c r="AF5" s="67">
        <v>71.900000000000006</v>
      </c>
      <c r="AG5" s="67">
        <v>65.599999999999994</v>
      </c>
      <c r="AH5" s="67">
        <v>78.599999999999994</v>
      </c>
      <c r="AI5" s="67">
        <v>69</v>
      </c>
      <c r="AJ5" s="67">
        <v>72.5</v>
      </c>
      <c r="AK5" s="67">
        <v>75.900000000000006</v>
      </c>
      <c r="AL5" s="67">
        <v>79.400000000000006</v>
      </c>
      <c r="AM5" s="67" t="s">
        <v>283</v>
      </c>
      <c r="AN5" s="67" t="s">
        <v>283</v>
      </c>
      <c r="AO5" s="67" t="s">
        <v>283</v>
      </c>
      <c r="AP5" s="67" t="s">
        <v>283</v>
      </c>
      <c r="AQ5" s="67" t="s">
        <v>283</v>
      </c>
      <c r="AR5" s="67" t="s">
        <v>283</v>
      </c>
      <c r="AS5" s="67" t="s">
        <v>283</v>
      </c>
      <c r="AT5" s="67" t="s">
        <v>283</v>
      </c>
      <c r="AU5" s="67" t="s">
        <v>283</v>
      </c>
      <c r="AV5" s="67" t="s">
        <v>283</v>
      </c>
      <c r="AW5" s="67" t="s">
        <v>283</v>
      </c>
      <c r="AX5" s="67" t="s">
        <v>283</v>
      </c>
      <c r="AY5" s="67" t="s">
        <v>283</v>
      </c>
      <c r="AZ5" s="67" t="s">
        <v>283</v>
      </c>
      <c r="BA5" s="67" t="s">
        <v>283</v>
      </c>
      <c r="BB5" s="67" t="s">
        <v>283</v>
      </c>
      <c r="BC5" s="67" t="s">
        <v>283</v>
      </c>
      <c r="BD5" s="67" t="s">
        <v>283</v>
      </c>
      <c r="BE5" s="67" t="s">
        <v>283</v>
      </c>
      <c r="BF5" s="67" t="s">
        <v>283</v>
      </c>
      <c r="BG5" s="67" t="s">
        <v>283</v>
      </c>
      <c r="BH5" s="67" t="s">
        <v>283</v>
      </c>
      <c r="BI5" s="67" t="s">
        <v>283</v>
      </c>
      <c r="BJ5" s="67" t="s">
        <v>283</v>
      </c>
      <c r="BK5" s="67" t="s">
        <v>283</v>
      </c>
      <c r="BL5" s="67" t="s">
        <v>283</v>
      </c>
      <c r="BM5" s="67" t="s">
        <v>283</v>
      </c>
      <c r="BN5" s="67">
        <v>34</v>
      </c>
      <c r="BO5" s="67">
        <v>44</v>
      </c>
      <c r="BP5" s="67">
        <v>69.5</v>
      </c>
      <c r="BQ5" s="67">
        <v>51</v>
      </c>
      <c r="BR5" s="67">
        <v>34</v>
      </c>
      <c r="BS5" s="67">
        <v>51</v>
      </c>
      <c r="BT5" s="67">
        <v>51</v>
      </c>
      <c r="BU5" s="67">
        <v>51</v>
      </c>
      <c r="BV5" s="67">
        <v>51</v>
      </c>
      <c r="BW5" s="67">
        <v>40</v>
      </c>
      <c r="BX5" s="67">
        <v>50</v>
      </c>
      <c r="BY5" s="67">
        <v>71</v>
      </c>
      <c r="BZ5" s="67">
        <v>51</v>
      </c>
      <c r="CA5" s="67">
        <v>61</v>
      </c>
      <c r="CB5" s="67">
        <v>51</v>
      </c>
      <c r="CC5" s="67">
        <v>51</v>
      </c>
      <c r="CD5" s="67">
        <v>51</v>
      </c>
      <c r="CE5" s="67">
        <v>51</v>
      </c>
      <c r="CF5" s="147" t="s">
        <v>283</v>
      </c>
      <c r="CG5" s="147" t="s">
        <v>283</v>
      </c>
      <c r="CH5" s="147" t="s">
        <v>283</v>
      </c>
      <c r="CI5" s="147" t="s">
        <v>283</v>
      </c>
      <c r="CJ5" s="67">
        <v>16.3</v>
      </c>
      <c r="CK5" s="147" t="s">
        <v>349</v>
      </c>
      <c r="CL5" s="147" t="s">
        <v>349</v>
      </c>
      <c r="CM5" s="147" t="s">
        <v>349</v>
      </c>
      <c r="CN5" s="147" t="s">
        <v>349</v>
      </c>
      <c r="CO5" s="147" t="s">
        <v>283</v>
      </c>
      <c r="CP5" s="147" t="s">
        <v>283</v>
      </c>
      <c r="CQ5" s="147" t="s">
        <v>283</v>
      </c>
      <c r="CR5" s="147" t="s">
        <v>283</v>
      </c>
      <c r="CS5" s="67">
        <v>8.3000000000000007</v>
      </c>
      <c r="CT5" s="147" t="s">
        <v>349</v>
      </c>
      <c r="CU5" s="147" t="s">
        <v>349</v>
      </c>
      <c r="CV5" s="147" t="s">
        <v>349</v>
      </c>
      <c r="CW5" s="147" t="s">
        <v>349</v>
      </c>
      <c r="CX5" s="147" t="s">
        <v>283</v>
      </c>
      <c r="CY5" s="147" t="s">
        <v>283</v>
      </c>
      <c r="CZ5" s="147" t="s">
        <v>283</v>
      </c>
      <c r="DA5" s="147" t="s">
        <v>283</v>
      </c>
      <c r="DB5" s="67">
        <v>0</v>
      </c>
      <c r="DC5" s="147" t="s">
        <v>349</v>
      </c>
      <c r="DD5" s="147" t="s">
        <v>349</v>
      </c>
      <c r="DE5" s="147" t="s">
        <v>349</v>
      </c>
      <c r="DF5" s="147" t="s">
        <v>349</v>
      </c>
      <c r="DG5" s="147" t="s">
        <v>283</v>
      </c>
      <c r="DH5" s="147" t="s">
        <v>283</v>
      </c>
      <c r="DI5" s="147" t="s">
        <v>283</v>
      </c>
      <c r="DJ5" s="147" t="s">
        <v>283</v>
      </c>
      <c r="DK5" s="67">
        <v>4.0999999999999996</v>
      </c>
      <c r="DL5" s="147" t="s">
        <v>349</v>
      </c>
      <c r="DM5" s="147" t="s">
        <v>349</v>
      </c>
      <c r="DN5" s="147" t="s">
        <v>349</v>
      </c>
      <c r="DO5" s="147" t="s">
        <v>349</v>
      </c>
      <c r="DP5" s="147" t="s">
        <v>283</v>
      </c>
      <c r="DQ5" s="147" t="s">
        <v>283</v>
      </c>
      <c r="DR5" s="147" t="s">
        <v>283</v>
      </c>
      <c r="DS5" s="147" t="s">
        <v>283</v>
      </c>
      <c r="DT5" s="67">
        <v>20.8</v>
      </c>
      <c r="DU5" s="147" t="s">
        <v>349</v>
      </c>
      <c r="DV5" s="147" t="s">
        <v>349</v>
      </c>
      <c r="DW5" s="147" t="s">
        <v>349</v>
      </c>
      <c r="DX5" s="147" t="s">
        <v>349</v>
      </c>
      <c r="DY5" s="147" t="s">
        <v>283</v>
      </c>
      <c r="DZ5" s="147" t="s">
        <v>283</v>
      </c>
      <c r="EA5" s="147" t="s">
        <v>283</v>
      </c>
      <c r="EB5" s="147" t="s">
        <v>283</v>
      </c>
      <c r="EC5" s="67">
        <v>0</v>
      </c>
      <c r="ED5" s="147" t="s">
        <v>349</v>
      </c>
      <c r="EE5" s="147" t="s">
        <v>349</v>
      </c>
      <c r="EF5" s="147" t="s">
        <v>349</v>
      </c>
      <c r="EG5" s="147" t="s">
        <v>349</v>
      </c>
    </row>
    <row r="6" spans="1:137">
      <c r="A6" s="67" t="s">
        <v>297</v>
      </c>
      <c r="B6" s="67" t="s">
        <v>298</v>
      </c>
      <c r="C6" s="67" t="s">
        <v>287</v>
      </c>
      <c r="D6" s="67" t="s">
        <v>291</v>
      </c>
      <c r="E6" s="67" t="s">
        <v>288</v>
      </c>
      <c r="F6" s="67" t="s">
        <v>292</v>
      </c>
      <c r="G6" s="67" t="s">
        <v>286</v>
      </c>
      <c r="H6" s="67" t="s">
        <v>148</v>
      </c>
      <c r="I6" s="67" t="s">
        <v>12</v>
      </c>
      <c r="J6" s="67" t="s">
        <v>297</v>
      </c>
      <c r="K6" s="67" t="s">
        <v>284</v>
      </c>
      <c r="L6" s="67">
        <v>61.4</v>
      </c>
      <c r="M6" s="67">
        <v>64.599999999999994</v>
      </c>
      <c r="N6" s="67">
        <v>49</v>
      </c>
      <c r="O6" s="67">
        <v>67.8</v>
      </c>
      <c r="P6" s="67">
        <v>48.3</v>
      </c>
      <c r="Q6" s="67">
        <v>71.099999999999994</v>
      </c>
      <c r="R6" s="67">
        <v>74.3</v>
      </c>
      <c r="S6" s="67">
        <v>77.5</v>
      </c>
      <c r="T6" s="67">
        <v>80.7</v>
      </c>
      <c r="U6" s="67">
        <v>52.3</v>
      </c>
      <c r="V6" s="67">
        <v>56.3</v>
      </c>
      <c r="W6" s="67">
        <v>48</v>
      </c>
      <c r="X6" s="67">
        <v>60.3</v>
      </c>
      <c r="Y6" s="67">
        <v>54.3</v>
      </c>
      <c r="Z6" s="67">
        <v>64.2</v>
      </c>
      <c r="AA6" s="67">
        <v>68.2</v>
      </c>
      <c r="AB6" s="67">
        <v>72.2</v>
      </c>
      <c r="AC6" s="67">
        <v>76.2</v>
      </c>
      <c r="AD6" s="67" t="s">
        <v>283</v>
      </c>
      <c r="AE6" s="67" t="s">
        <v>283</v>
      </c>
      <c r="AF6" s="67" t="s">
        <v>283</v>
      </c>
      <c r="AG6" s="67" t="s">
        <v>283</v>
      </c>
      <c r="AH6" s="67" t="s">
        <v>283</v>
      </c>
      <c r="AI6" s="67" t="s">
        <v>283</v>
      </c>
      <c r="AJ6" s="67" t="s">
        <v>283</v>
      </c>
      <c r="AK6" s="67" t="s">
        <v>283</v>
      </c>
      <c r="AL6" s="67" t="s">
        <v>283</v>
      </c>
      <c r="AM6" s="67" t="s">
        <v>283</v>
      </c>
      <c r="AN6" s="67" t="s">
        <v>283</v>
      </c>
      <c r="AO6" s="67" t="s">
        <v>283</v>
      </c>
      <c r="AP6" s="67" t="s">
        <v>283</v>
      </c>
      <c r="AQ6" s="67" t="s">
        <v>283</v>
      </c>
      <c r="AR6" s="67" t="s">
        <v>283</v>
      </c>
      <c r="AS6" s="67" t="s">
        <v>283</v>
      </c>
      <c r="AT6" s="67" t="s">
        <v>283</v>
      </c>
      <c r="AU6" s="67" t="s">
        <v>283</v>
      </c>
      <c r="AV6" s="67" t="s">
        <v>283</v>
      </c>
      <c r="AW6" s="67" t="s">
        <v>283</v>
      </c>
      <c r="AX6" s="67" t="s">
        <v>283</v>
      </c>
      <c r="AY6" s="67" t="s">
        <v>283</v>
      </c>
      <c r="AZ6" s="67" t="s">
        <v>283</v>
      </c>
      <c r="BA6" s="67" t="s">
        <v>283</v>
      </c>
      <c r="BB6" s="67" t="s">
        <v>283</v>
      </c>
      <c r="BC6" s="67" t="s">
        <v>283</v>
      </c>
      <c r="BD6" s="67" t="s">
        <v>283</v>
      </c>
      <c r="BE6" s="67" t="s">
        <v>283</v>
      </c>
      <c r="BF6" s="67" t="s">
        <v>283</v>
      </c>
      <c r="BG6" s="67" t="s">
        <v>283</v>
      </c>
      <c r="BH6" s="67" t="s">
        <v>283</v>
      </c>
      <c r="BI6" s="67" t="s">
        <v>283</v>
      </c>
      <c r="BJ6" s="67" t="s">
        <v>283</v>
      </c>
      <c r="BK6" s="67" t="s">
        <v>283</v>
      </c>
      <c r="BL6" s="67" t="s">
        <v>283</v>
      </c>
      <c r="BM6" s="67" t="s">
        <v>283</v>
      </c>
      <c r="BN6" s="67" t="s">
        <v>283</v>
      </c>
      <c r="BO6" s="67" t="s">
        <v>283</v>
      </c>
      <c r="BP6" s="67" t="s">
        <v>283</v>
      </c>
      <c r="BQ6" s="67" t="s">
        <v>283</v>
      </c>
      <c r="BR6" s="67" t="s">
        <v>283</v>
      </c>
      <c r="BS6" s="67" t="s">
        <v>283</v>
      </c>
      <c r="BT6" s="67" t="s">
        <v>283</v>
      </c>
      <c r="BU6" s="67" t="s">
        <v>283</v>
      </c>
      <c r="BV6" s="67" t="s">
        <v>283</v>
      </c>
      <c r="BW6" s="67" t="s">
        <v>283</v>
      </c>
      <c r="BX6" s="67" t="s">
        <v>283</v>
      </c>
      <c r="BY6" s="67" t="s">
        <v>283</v>
      </c>
      <c r="BZ6" s="67" t="s">
        <v>283</v>
      </c>
      <c r="CA6" s="67" t="s">
        <v>283</v>
      </c>
      <c r="CB6" s="67" t="s">
        <v>283</v>
      </c>
      <c r="CC6" s="67" t="s">
        <v>283</v>
      </c>
      <c r="CD6" s="67" t="s">
        <v>283</v>
      </c>
      <c r="CE6" s="67" t="s">
        <v>283</v>
      </c>
      <c r="CF6" s="147" t="s">
        <v>283</v>
      </c>
      <c r="CG6" s="147" t="s">
        <v>283</v>
      </c>
      <c r="CH6" s="147" t="s">
        <v>283</v>
      </c>
      <c r="CI6" s="147" t="s">
        <v>283</v>
      </c>
      <c r="CJ6" s="67">
        <v>44.8</v>
      </c>
      <c r="CK6" s="147" t="s">
        <v>349</v>
      </c>
      <c r="CL6" s="147" t="s">
        <v>349</v>
      </c>
      <c r="CM6" s="147" t="s">
        <v>349</v>
      </c>
      <c r="CN6" s="147" t="s">
        <v>349</v>
      </c>
      <c r="CO6" s="147" t="s">
        <v>283</v>
      </c>
      <c r="CP6" s="147" t="s">
        <v>283</v>
      </c>
      <c r="CQ6" s="147" t="s">
        <v>283</v>
      </c>
      <c r="CR6" s="147" t="s">
        <v>283</v>
      </c>
      <c r="CS6" s="67">
        <v>31</v>
      </c>
      <c r="CT6" s="147" t="s">
        <v>349</v>
      </c>
      <c r="CU6" s="147" t="s">
        <v>349</v>
      </c>
      <c r="CV6" s="147" t="s">
        <v>349</v>
      </c>
      <c r="CW6" s="147" t="s">
        <v>349</v>
      </c>
      <c r="CX6" s="147" t="s">
        <v>283</v>
      </c>
      <c r="CY6" s="147" t="s">
        <v>283</v>
      </c>
      <c r="CZ6" s="147" t="s">
        <v>283</v>
      </c>
      <c r="DA6" s="147" t="s">
        <v>283</v>
      </c>
      <c r="DB6" s="67" t="s">
        <v>283</v>
      </c>
      <c r="DC6" s="147" t="s">
        <v>283</v>
      </c>
      <c r="DD6" s="147" t="s">
        <v>283</v>
      </c>
      <c r="DE6" s="147" t="s">
        <v>283</v>
      </c>
      <c r="DF6" s="147" t="s">
        <v>283</v>
      </c>
      <c r="DG6" s="147" t="s">
        <v>283</v>
      </c>
      <c r="DH6" s="147" t="s">
        <v>283</v>
      </c>
      <c r="DI6" s="147" t="s">
        <v>283</v>
      </c>
      <c r="DJ6" s="147" t="s">
        <v>283</v>
      </c>
      <c r="DK6" s="67">
        <v>0</v>
      </c>
      <c r="DL6" s="147" t="s">
        <v>349</v>
      </c>
      <c r="DM6" s="147" t="s">
        <v>349</v>
      </c>
      <c r="DN6" s="147" t="s">
        <v>349</v>
      </c>
      <c r="DO6" s="147" t="s">
        <v>349</v>
      </c>
      <c r="DP6" s="147" t="s">
        <v>283</v>
      </c>
      <c r="DQ6" s="147" t="s">
        <v>283</v>
      </c>
      <c r="DR6" s="147" t="s">
        <v>283</v>
      </c>
      <c r="DS6" s="147" t="s">
        <v>283</v>
      </c>
      <c r="DT6" s="67">
        <v>3.4</v>
      </c>
      <c r="DU6" s="147" t="s">
        <v>349</v>
      </c>
      <c r="DV6" s="147" t="s">
        <v>349</v>
      </c>
      <c r="DW6" s="147" t="s">
        <v>349</v>
      </c>
      <c r="DX6" s="147" t="s">
        <v>349</v>
      </c>
      <c r="DY6" s="147" t="s">
        <v>283</v>
      </c>
      <c r="DZ6" s="147" t="s">
        <v>283</v>
      </c>
      <c r="EA6" s="147" t="s">
        <v>283</v>
      </c>
      <c r="EB6" s="147" t="s">
        <v>283</v>
      </c>
      <c r="EC6" s="67" t="s">
        <v>283</v>
      </c>
      <c r="ED6" s="147" t="s">
        <v>283</v>
      </c>
      <c r="EE6" s="147" t="s">
        <v>283</v>
      </c>
      <c r="EF6" s="147" t="s">
        <v>283</v>
      </c>
      <c r="EG6" s="147" t="s">
        <v>283</v>
      </c>
    </row>
    <row r="7" spans="1:137">
      <c r="A7" s="67" t="s">
        <v>299</v>
      </c>
      <c r="B7" s="67" t="s">
        <v>300</v>
      </c>
      <c r="C7" s="67" t="s">
        <v>287</v>
      </c>
      <c r="D7" s="67" t="s">
        <v>291</v>
      </c>
      <c r="E7" s="67" t="s">
        <v>288</v>
      </c>
      <c r="F7" s="67" t="s">
        <v>292</v>
      </c>
      <c r="G7" s="67" t="s">
        <v>286</v>
      </c>
      <c r="H7" s="67" t="s">
        <v>148</v>
      </c>
      <c r="I7" s="67" t="s">
        <v>13</v>
      </c>
      <c r="J7" s="67" t="s">
        <v>299</v>
      </c>
      <c r="K7" s="67" t="s">
        <v>284</v>
      </c>
      <c r="L7" s="67">
        <v>66.8</v>
      </c>
      <c r="M7" s="67">
        <v>69.599999999999994</v>
      </c>
      <c r="N7" s="67">
        <v>68</v>
      </c>
      <c r="O7" s="67">
        <v>72.3</v>
      </c>
      <c r="P7" s="67">
        <v>68.8</v>
      </c>
      <c r="Q7" s="67">
        <v>75.099999999999994</v>
      </c>
      <c r="R7" s="67">
        <v>77.900000000000006</v>
      </c>
      <c r="S7" s="67">
        <v>80.599999999999994</v>
      </c>
      <c r="T7" s="67">
        <v>83.4</v>
      </c>
      <c r="U7" s="67">
        <v>67.8</v>
      </c>
      <c r="V7" s="67">
        <v>70.5</v>
      </c>
      <c r="W7" s="67">
        <v>67.2</v>
      </c>
      <c r="X7" s="67">
        <v>73.2</v>
      </c>
      <c r="Y7" s="67">
        <v>75.3</v>
      </c>
      <c r="Z7" s="67">
        <v>75.900000000000006</v>
      </c>
      <c r="AA7" s="67">
        <v>78.5</v>
      </c>
      <c r="AB7" s="67">
        <v>81.2</v>
      </c>
      <c r="AC7" s="67">
        <v>83.9</v>
      </c>
      <c r="AD7" s="67">
        <v>58.7</v>
      </c>
      <c r="AE7" s="67">
        <v>62.1</v>
      </c>
      <c r="AF7" s="67">
        <v>64.099999999999994</v>
      </c>
      <c r="AG7" s="67">
        <v>65.599999999999994</v>
      </c>
      <c r="AH7" s="67">
        <v>75</v>
      </c>
      <c r="AI7" s="67">
        <v>69</v>
      </c>
      <c r="AJ7" s="67">
        <v>72.5</v>
      </c>
      <c r="AK7" s="67">
        <v>75.900000000000006</v>
      </c>
      <c r="AL7" s="67">
        <v>79.400000000000006</v>
      </c>
      <c r="AM7" s="67" t="s">
        <v>283</v>
      </c>
      <c r="AN7" s="67" t="s">
        <v>283</v>
      </c>
      <c r="AO7" s="67" t="s">
        <v>283</v>
      </c>
      <c r="AP7" s="67" t="s">
        <v>283</v>
      </c>
      <c r="AQ7" s="67" t="s">
        <v>283</v>
      </c>
      <c r="AR7" s="67" t="s">
        <v>283</v>
      </c>
      <c r="AS7" s="67" t="s">
        <v>283</v>
      </c>
      <c r="AT7" s="67" t="s">
        <v>283</v>
      </c>
      <c r="AU7" s="67" t="s">
        <v>283</v>
      </c>
      <c r="AV7" s="67" t="s">
        <v>283</v>
      </c>
      <c r="AW7" s="67" t="s">
        <v>283</v>
      </c>
      <c r="AX7" s="67" t="s">
        <v>283</v>
      </c>
      <c r="AY7" s="67" t="s">
        <v>283</v>
      </c>
      <c r="AZ7" s="67" t="s">
        <v>283</v>
      </c>
      <c r="BA7" s="67" t="s">
        <v>283</v>
      </c>
      <c r="BB7" s="67" t="s">
        <v>283</v>
      </c>
      <c r="BC7" s="67" t="s">
        <v>283</v>
      </c>
      <c r="BD7" s="67" t="s">
        <v>283</v>
      </c>
      <c r="BE7" s="67" t="s">
        <v>283</v>
      </c>
      <c r="BF7" s="67" t="s">
        <v>283</v>
      </c>
      <c r="BG7" s="67" t="s">
        <v>283</v>
      </c>
      <c r="BH7" s="67" t="s">
        <v>283</v>
      </c>
      <c r="BI7" s="67" t="s">
        <v>283</v>
      </c>
      <c r="BJ7" s="67" t="s">
        <v>283</v>
      </c>
      <c r="BK7" s="67" t="s">
        <v>283</v>
      </c>
      <c r="BL7" s="67" t="s">
        <v>283</v>
      </c>
      <c r="BM7" s="67" t="s">
        <v>283</v>
      </c>
      <c r="BN7" s="67">
        <v>40</v>
      </c>
      <c r="BO7" s="67">
        <v>50</v>
      </c>
      <c r="BP7" s="67">
        <v>51</v>
      </c>
      <c r="BQ7" s="67">
        <v>51</v>
      </c>
      <c r="BR7" s="67">
        <v>51</v>
      </c>
      <c r="BS7" s="67">
        <v>51</v>
      </c>
      <c r="BT7" s="67">
        <v>51</v>
      </c>
      <c r="BU7" s="67">
        <v>51</v>
      </c>
      <c r="BV7" s="67">
        <v>51</v>
      </c>
      <c r="BW7" s="67">
        <v>40</v>
      </c>
      <c r="BX7" s="67">
        <v>50</v>
      </c>
      <c r="BY7" s="67">
        <v>58.5</v>
      </c>
      <c r="BZ7" s="67">
        <v>51</v>
      </c>
      <c r="CA7" s="67">
        <v>61.5</v>
      </c>
      <c r="CB7" s="67">
        <v>51</v>
      </c>
      <c r="CC7" s="67">
        <v>51</v>
      </c>
      <c r="CD7" s="67">
        <v>51</v>
      </c>
      <c r="CE7" s="67">
        <v>51</v>
      </c>
      <c r="CF7" s="147" t="s">
        <v>283</v>
      </c>
      <c r="CG7" s="147" t="s">
        <v>283</v>
      </c>
      <c r="CH7" s="147" t="s">
        <v>283</v>
      </c>
      <c r="CI7" s="147" t="s">
        <v>283</v>
      </c>
      <c r="CJ7" s="67">
        <v>17.8</v>
      </c>
      <c r="CK7" s="147" t="s">
        <v>349</v>
      </c>
      <c r="CL7" s="147" t="s">
        <v>349</v>
      </c>
      <c r="CM7" s="147" t="s">
        <v>349</v>
      </c>
      <c r="CN7" s="147" t="s">
        <v>349</v>
      </c>
      <c r="CO7" s="147" t="s">
        <v>283</v>
      </c>
      <c r="CP7" s="147" t="s">
        <v>283</v>
      </c>
      <c r="CQ7" s="147" t="s">
        <v>283</v>
      </c>
      <c r="CR7" s="147" t="s">
        <v>283</v>
      </c>
      <c r="CS7" s="67">
        <v>12</v>
      </c>
      <c r="CT7" s="147" t="s">
        <v>349</v>
      </c>
      <c r="CU7" s="147" t="s">
        <v>349</v>
      </c>
      <c r="CV7" s="147" t="s">
        <v>349</v>
      </c>
      <c r="CW7" s="147" t="s">
        <v>349</v>
      </c>
      <c r="CX7" s="147" t="s">
        <v>283</v>
      </c>
      <c r="CY7" s="147" t="s">
        <v>283</v>
      </c>
      <c r="CZ7" s="147" t="s">
        <v>283</v>
      </c>
      <c r="DA7" s="147" t="s">
        <v>283</v>
      </c>
      <c r="DB7" s="67">
        <v>9.6999999999999993</v>
      </c>
      <c r="DC7" s="147" t="s">
        <v>349</v>
      </c>
      <c r="DD7" s="147" t="s">
        <v>349</v>
      </c>
      <c r="DE7" s="147" t="s">
        <v>349</v>
      </c>
      <c r="DF7" s="147" t="s">
        <v>349</v>
      </c>
      <c r="DG7" s="147" t="s">
        <v>283</v>
      </c>
      <c r="DH7" s="147" t="s">
        <v>283</v>
      </c>
      <c r="DI7" s="147" t="s">
        <v>283</v>
      </c>
      <c r="DJ7" s="147" t="s">
        <v>283</v>
      </c>
      <c r="DK7" s="67">
        <v>2</v>
      </c>
      <c r="DL7" s="147" t="s">
        <v>349</v>
      </c>
      <c r="DM7" s="147" t="s">
        <v>349</v>
      </c>
      <c r="DN7" s="147" t="s">
        <v>349</v>
      </c>
      <c r="DO7" s="147" t="s">
        <v>349</v>
      </c>
      <c r="DP7" s="147" t="s">
        <v>283</v>
      </c>
      <c r="DQ7" s="147" t="s">
        <v>283</v>
      </c>
      <c r="DR7" s="147" t="s">
        <v>283</v>
      </c>
      <c r="DS7" s="147" t="s">
        <v>283</v>
      </c>
      <c r="DT7" s="67">
        <v>17</v>
      </c>
      <c r="DU7" s="147" t="s">
        <v>349</v>
      </c>
      <c r="DV7" s="147" t="s">
        <v>349</v>
      </c>
      <c r="DW7" s="147" t="s">
        <v>349</v>
      </c>
      <c r="DX7" s="147" t="s">
        <v>349</v>
      </c>
      <c r="DY7" s="147" t="s">
        <v>283</v>
      </c>
      <c r="DZ7" s="147" t="s">
        <v>283</v>
      </c>
      <c r="EA7" s="147" t="s">
        <v>283</v>
      </c>
      <c r="EB7" s="147" t="s">
        <v>283</v>
      </c>
      <c r="EC7" s="67">
        <v>9.6999999999999993</v>
      </c>
      <c r="ED7" s="147" t="s">
        <v>349</v>
      </c>
      <c r="EE7" s="147" t="s">
        <v>349</v>
      </c>
      <c r="EF7" s="147" t="s">
        <v>349</v>
      </c>
      <c r="EG7" s="147" t="s">
        <v>349</v>
      </c>
    </row>
    <row r="8" spans="1:137">
      <c r="A8" s="67" t="s">
        <v>301</v>
      </c>
      <c r="B8" s="67" t="s">
        <v>302</v>
      </c>
      <c r="C8" s="67" t="s">
        <v>287</v>
      </c>
      <c r="D8" s="67" t="s">
        <v>291</v>
      </c>
      <c r="E8" s="67" t="s">
        <v>288</v>
      </c>
      <c r="F8" s="67" t="s">
        <v>292</v>
      </c>
      <c r="G8" s="67" t="s">
        <v>286</v>
      </c>
      <c r="H8" s="67" t="s">
        <v>148</v>
      </c>
      <c r="I8" s="67" t="s">
        <v>14</v>
      </c>
      <c r="J8" s="67" t="s">
        <v>301</v>
      </c>
      <c r="K8" s="67" t="s">
        <v>284</v>
      </c>
      <c r="L8" s="67">
        <v>63.6</v>
      </c>
      <c r="M8" s="67">
        <v>66.599999999999994</v>
      </c>
      <c r="N8" s="67">
        <v>68.599999999999994</v>
      </c>
      <c r="O8" s="67">
        <v>69.7</v>
      </c>
      <c r="P8" s="67">
        <v>62.9</v>
      </c>
      <c r="Q8" s="67">
        <v>72.7</v>
      </c>
      <c r="R8" s="67">
        <v>75.7</v>
      </c>
      <c r="S8" s="67">
        <v>78.8</v>
      </c>
      <c r="T8" s="67">
        <v>81.8</v>
      </c>
      <c r="U8" s="67">
        <v>62.9</v>
      </c>
      <c r="V8" s="67">
        <v>66</v>
      </c>
      <c r="W8" s="67">
        <v>64.7</v>
      </c>
      <c r="X8" s="67">
        <v>69.099999999999994</v>
      </c>
      <c r="Y8" s="67">
        <v>71.2</v>
      </c>
      <c r="Z8" s="67">
        <v>72.2</v>
      </c>
      <c r="AA8" s="67">
        <v>75.3</v>
      </c>
      <c r="AB8" s="67">
        <v>78.400000000000006</v>
      </c>
      <c r="AC8" s="67">
        <v>81.5</v>
      </c>
      <c r="AD8" s="67" t="s">
        <v>283</v>
      </c>
      <c r="AE8" s="67" t="s">
        <v>283</v>
      </c>
      <c r="AF8" s="67" t="s">
        <v>283</v>
      </c>
      <c r="AG8" s="67" t="s">
        <v>283</v>
      </c>
      <c r="AH8" s="67" t="s">
        <v>283</v>
      </c>
      <c r="AI8" s="67" t="s">
        <v>283</v>
      </c>
      <c r="AJ8" s="67" t="s">
        <v>283</v>
      </c>
      <c r="AK8" s="67" t="s">
        <v>283</v>
      </c>
      <c r="AL8" s="67" t="s">
        <v>283</v>
      </c>
      <c r="AM8" s="67" t="s">
        <v>283</v>
      </c>
      <c r="AN8" s="67" t="s">
        <v>283</v>
      </c>
      <c r="AO8" s="67" t="s">
        <v>283</v>
      </c>
      <c r="AP8" s="67" t="s">
        <v>283</v>
      </c>
      <c r="AQ8" s="67" t="s">
        <v>283</v>
      </c>
      <c r="AR8" s="67" t="s">
        <v>283</v>
      </c>
      <c r="AS8" s="67" t="s">
        <v>283</v>
      </c>
      <c r="AT8" s="67" t="s">
        <v>283</v>
      </c>
      <c r="AU8" s="67" t="s">
        <v>283</v>
      </c>
      <c r="AV8" s="67" t="s">
        <v>283</v>
      </c>
      <c r="AW8" s="67" t="s">
        <v>283</v>
      </c>
      <c r="AX8" s="67" t="s">
        <v>283</v>
      </c>
      <c r="AY8" s="67" t="s">
        <v>283</v>
      </c>
      <c r="AZ8" s="67" t="s">
        <v>283</v>
      </c>
      <c r="BA8" s="67" t="s">
        <v>283</v>
      </c>
      <c r="BB8" s="67" t="s">
        <v>283</v>
      </c>
      <c r="BC8" s="67" t="s">
        <v>283</v>
      </c>
      <c r="BD8" s="67" t="s">
        <v>283</v>
      </c>
      <c r="BE8" s="67" t="s">
        <v>283</v>
      </c>
      <c r="BF8" s="67" t="s">
        <v>283</v>
      </c>
      <c r="BG8" s="67" t="s">
        <v>283</v>
      </c>
      <c r="BH8" s="67" t="s">
        <v>283</v>
      </c>
      <c r="BI8" s="67" t="s">
        <v>283</v>
      </c>
      <c r="BJ8" s="67" t="s">
        <v>283</v>
      </c>
      <c r="BK8" s="67" t="s">
        <v>283</v>
      </c>
      <c r="BL8" s="67" t="s">
        <v>283</v>
      </c>
      <c r="BM8" s="67" t="s">
        <v>283</v>
      </c>
      <c r="BN8" s="67" t="s">
        <v>283</v>
      </c>
      <c r="BO8" s="67" t="s">
        <v>283</v>
      </c>
      <c r="BP8" s="67" t="s">
        <v>283</v>
      </c>
      <c r="BQ8" s="67" t="s">
        <v>283</v>
      </c>
      <c r="BR8" s="67" t="s">
        <v>283</v>
      </c>
      <c r="BS8" s="67" t="s">
        <v>283</v>
      </c>
      <c r="BT8" s="67" t="s">
        <v>283</v>
      </c>
      <c r="BU8" s="67" t="s">
        <v>283</v>
      </c>
      <c r="BV8" s="67" t="s">
        <v>283</v>
      </c>
      <c r="BW8" s="67" t="s">
        <v>283</v>
      </c>
      <c r="BX8" s="67" t="s">
        <v>283</v>
      </c>
      <c r="BY8" s="67" t="s">
        <v>283</v>
      </c>
      <c r="BZ8" s="67" t="s">
        <v>283</v>
      </c>
      <c r="CA8" s="67" t="s">
        <v>283</v>
      </c>
      <c r="CB8" s="67" t="s">
        <v>283</v>
      </c>
      <c r="CC8" s="67" t="s">
        <v>283</v>
      </c>
      <c r="CD8" s="67" t="s">
        <v>283</v>
      </c>
      <c r="CE8" s="67" t="s">
        <v>283</v>
      </c>
      <c r="CF8" s="147" t="s">
        <v>283</v>
      </c>
      <c r="CG8" s="147" t="s">
        <v>283</v>
      </c>
      <c r="CH8" s="147" t="s">
        <v>283</v>
      </c>
      <c r="CI8" s="147" t="s">
        <v>283</v>
      </c>
      <c r="CJ8" s="67">
        <v>30.3</v>
      </c>
      <c r="CK8" s="147" t="s">
        <v>349</v>
      </c>
      <c r="CL8" s="147" t="s">
        <v>349</v>
      </c>
      <c r="CM8" s="147" t="s">
        <v>349</v>
      </c>
      <c r="CN8" s="147" t="s">
        <v>349</v>
      </c>
      <c r="CO8" s="147" t="s">
        <v>283</v>
      </c>
      <c r="CP8" s="147" t="s">
        <v>283</v>
      </c>
      <c r="CQ8" s="147" t="s">
        <v>283</v>
      </c>
      <c r="CR8" s="147" t="s">
        <v>283</v>
      </c>
      <c r="CS8" s="67">
        <v>18.2</v>
      </c>
      <c r="CT8" s="147" t="s">
        <v>349</v>
      </c>
      <c r="CU8" s="147" t="s">
        <v>349</v>
      </c>
      <c r="CV8" s="147" t="s">
        <v>349</v>
      </c>
      <c r="CW8" s="147" t="s">
        <v>349</v>
      </c>
      <c r="CX8" s="147" t="s">
        <v>283</v>
      </c>
      <c r="CY8" s="147" t="s">
        <v>283</v>
      </c>
      <c r="CZ8" s="147" t="s">
        <v>283</v>
      </c>
      <c r="DA8" s="147" t="s">
        <v>283</v>
      </c>
      <c r="DB8" s="67" t="s">
        <v>283</v>
      </c>
      <c r="DC8" s="147" t="s">
        <v>283</v>
      </c>
      <c r="DD8" s="147" t="s">
        <v>283</v>
      </c>
      <c r="DE8" s="147" t="s">
        <v>283</v>
      </c>
      <c r="DF8" s="147" t="s">
        <v>283</v>
      </c>
      <c r="DG8" s="147" t="s">
        <v>283</v>
      </c>
      <c r="DH8" s="147" t="s">
        <v>283</v>
      </c>
      <c r="DI8" s="147" t="s">
        <v>283</v>
      </c>
      <c r="DJ8" s="147" t="s">
        <v>283</v>
      </c>
      <c r="DK8" s="67">
        <v>0</v>
      </c>
      <c r="DL8" s="147" t="s">
        <v>349</v>
      </c>
      <c r="DM8" s="147" t="s">
        <v>349</v>
      </c>
      <c r="DN8" s="147" t="s">
        <v>349</v>
      </c>
      <c r="DO8" s="147" t="s">
        <v>349</v>
      </c>
      <c r="DP8" s="147" t="s">
        <v>283</v>
      </c>
      <c r="DQ8" s="147" t="s">
        <v>283</v>
      </c>
      <c r="DR8" s="147" t="s">
        <v>283</v>
      </c>
      <c r="DS8" s="147" t="s">
        <v>283</v>
      </c>
      <c r="DT8" s="67">
        <v>9.1</v>
      </c>
      <c r="DU8" s="147" t="s">
        <v>349</v>
      </c>
      <c r="DV8" s="147" t="s">
        <v>349</v>
      </c>
      <c r="DW8" s="147" t="s">
        <v>349</v>
      </c>
      <c r="DX8" s="147" t="s">
        <v>349</v>
      </c>
      <c r="DY8" s="147" t="s">
        <v>283</v>
      </c>
      <c r="DZ8" s="147" t="s">
        <v>283</v>
      </c>
      <c r="EA8" s="147" t="s">
        <v>283</v>
      </c>
      <c r="EB8" s="147" t="s">
        <v>283</v>
      </c>
      <c r="EC8" s="67" t="s">
        <v>283</v>
      </c>
      <c r="ED8" s="147" t="s">
        <v>283</v>
      </c>
      <c r="EE8" s="147" t="s">
        <v>283</v>
      </c>
      <c r="EF8" s="147" t="s">
        <v>283</v>
      </c>
      <c r="EG8" s="147" t="s">
        <v>283</v>
      </c>
    </row>
    <row r="9" spans="1:137">
      <c r="A9" s="67" t="s">
        <v>303</v>
      </c>
      <c r="B9" s="67" t="s">
        <v>304</v>
      </c>
      <c r="C9" s="67" t="s">
        <v>287</v>
      </c>
      <c r="D9" s="67" t="s">
        <v>291</v>
      </c>
      <c r="E9" s="67" t="s">
        <v>288</v>
      </c>
      <c r="F9" s="67" t="s">
        <v>292</v>
      </c>
      <c r="G9" s="67" t="s">
        <v>286</v>
      </c>
      <c r="H9" s="67" t="s">
        <v>148</v>
      </c>
      <c r="I9" s="67" t="s">
        <v>15</v>
      </c>
      <c r="J9" s="67" t="s">
        <v>303</v>
      </c>
      <c r="K9" s="67" t="s">
        <v>284</v>
      </c>
      <c r="L9" s="67" t="s">
        <v>283</v>
      </c>
      <c r="M9" s="67" t="s">
        <v>283</v>
      </c>
      <c r="N9" s="67" t="s">
        <v>283</v>
      </c>
      <c r="O9" s="67" t="s">
        <v>283</v>
      </c>
      <c r="P9" s="67" t="s">
        <v>283</v>
      </c>
      <c r="Q9" s="67" t="s">
        <v>283</v>
      </c>
      <c r="R9" s="67" t="s">
        <v>283</v>
      </c>
      <c r="S9" s="67" t="s">
        <v>283</v>
      </c>
      <c r="T9" s="67" t="s">
        <v>283</v>
      </c>
      <c r="U9" s="67" t="s">
        <v>283</v>
      </c>
      <c r="V9" s="67" t="s">
        <v>283</v>
      </c>
      <c r="W9" s="67" t="s">
        <v>283</v>
      </c>
      <c r="X9" s="67" t="s">
        <v>283</v>
      </c>
      <c r="Y9" s="67" t="s">
        <v>283</v>
      </c>
      <c r="Z9" s="67" t="s">
        <v>283</v>
      </c>
      <c r="AA9" s="67" t="s">
        <v>283</v>
      </c>
      <c r="AB9" s="67" t="s">
        <v>283</v>
      </c>
      <c r="AC9" s="67" t="s">
        <v>283</v>
      </c>
      <c r="AD9" s="67" t="s">
        <v>283</v>
      </c>
      <c r="AE9" s="67" t="s">
        <v>283</v>
      </c>
      <c r="AF9" s="67" t="s">
        <v>283</v>
      </c>
      <c r="AG9" s="67" t="s">
        <v>283</v>
      </c>
      <c r="AH9" s="67" t="s">
        <v>283</v>
      </c>
      <c r="AI9" s="67" t="s">
        <v>283</v>
      </c>
      <c r="AJ9" s="67" t="s">
        <v>283</v>
      </c>
      <c r="AK9" s="67" t="s">
        <v>283</v>
      </c>
      <c r="AL9" s="67" t="s">
        <v>283</v>
      </c>
      <c r="AM9" s="67" t="s">
        <v>283</v>
      </c>
      <c r="AN9" s="67" t="s">
        <v>283</v>
      </c>
      <c r="AO9" s="67" t="s">
        <v>283</v>
      </c>
      <c r="AP9" s="67" t="s">
        <v>283</v>
      </c>
      <c r="AQ9" s="67" t="s">
        <v>283</v>
      </c>
      <c r="AR9" s="67" t="s">
        <v>283</v>
      </c>
      <c r="AS9" s="67" t="s">
        <v>283</v>
      </c>
      <c r="AT9" s="67" t="s">
        <v>283</v>
      </c>
      <c r="AU9" s="67" t="s">
        <v>283</v>
      </c>
      <c r="AV9" s="67" t="s">
        <v>283</v>
      </c>
      <c r="AW9" s="67" t="s">
        <v>283</v>
      </c>
      <c r="AX9" s="67" t="s">
        <v>283</v>
      </c>
      <c r="AY9" s="67" t="s">
        <v>283</v>
      </c>
      <c r="AZ9" s="67" t="s">
        <v>283</v>
      </c>
      <c r="BA9" s="67" t="s">
        <v>283</v>
      </c>
      <c r="BB9" s="67" t="s">
        <v>283</v>
      </c>
      <c r="BC9" s="67" t="s">
        <v>283</v>
      </c>
      <c r="BD9" s="67" t="s">
        <v>283</v>
      </c>
      <c r="BE9" s="67" t="s">
        <v>283</v>
      </c>
      <c r="BF9" s="67" t="s">
        <v>283</v>
      </c>
      <c r="BG9" s="67" t="s">
        <v>283</v>
      </c>
      <c r="BH9" s="67" t="s">
        <v>283</v>
      </c>
      <c r="BI9" s="67" t="s">
        <v>283</v>
      </c>
      <c r="BJ9" s="67" t="s">
        <v>283</v>
      </c>
      <c r="BK9" s="67" t="s">
        <v>283</v>
      </c>
      <c r="BL9" s="67" t="s">
        <v>283</v>
      </c>
      <c r="BM9" s="67" t="s">
        <v>283</v>
      </c>
      <c r="BN9" s="67" t="s">
        <v>283</v>
      </c>
      <c r="BO9" s="67" t="s">
        <v>283</v>
      </c>
      <c r="BP9" s="67" t="s">
        <v>283</v>
      </c>
      <c r="BQ9" s="67" t="s">
        <v>283</v>
      </c>
      <c r="BR9" s="67" t="s">
        <v>283</v>
      </c>
      <c r="BS9" s="67" t="s">
        <v>283</v>
      </c>
      <c r="BT9" s="67" t="s">
        <v>283</v>
      </c>
      <c r="BU9" s="67" t="s">
        <v>283</v>
      </c>
      <c r="BV9" s="67" t="s">
        <v>283</v>
      </c>
      <c r="BW9" s="67" t="s">
        <v>283</v>
      </c>
      <c r="BX9" s="67" t="s">
        <v>283</v>
      </c>
      <c r="BY9" s="67" t="s">
        <v>283</v>
      </c>
      <c r="BZ9" s="67" t="s">
        <v>283</v>
      </c>
      <c r="CA9" s="67" t="s">
        <v>283</v>
      </c>
      <c r="CB9" s="67" t="s">
        <v>283</v>
      </c>
      <c r="CC9" s="67" t="s">
        <v>283</v>
      </c>
      <c r="CD9" s="67" t="s">
        <v>283</v>
      </c>
      <c r="CE9" s="67" t="s">
        <v>283</v>
      </c>
      <c r="CF9" s="147" t="s">
        <v>283</v>
      </c>
      <c r="CG9" s="147" t="s">
        <v>283</v>
      </c>
      <c r="CH9" s="147" t="s">
        <v>283</v>
      </c>
      <c r="CI9" s="147" t="s">
        <v>283</v>
      </c>
      <c r="CJ9" s="67" t="s">
        <v>283</v>
      </c>
      <c r="CK9" s="147" t="s">
        <v>283</v>
      </c>
      <c r="CL9" s="147" t="s">
        <v>283</v>
      </c>
      <c r="CM9" s="147" t="s">
        <v>283</v>
      </c>
      <c r="CN9" s="147" t="s">
        <v>283</v>
      </c>
      <c r="CO9" s="147" t="s">
        <v>283</v>
      </c>
      <c r="CP9" s="147" t="s">
        <v>283</v>
      </c>
      <c r="CQ9" s="147" t="s">
        <v>283</v>
      </c>
      <c r="CR9" s="147" t="s">
        <v>283</v>
      </c>
      <c r="CS9" s="67" t="s">
        <v>283</v>
      </c>
      <c r="CT9" s="147" t="s">
        <v>283</v>
      </c>
      <c r="CU9" s="147" t="s">
        <v>283</v>
      </c>
      <c r="CV9" s="147" t="s">
        <v>283</v>
      </c>
      <c r="CW9" s="147" t="s">
        <v>283</v>
      </c>
      <c r="CX9" s="147" t="s">
        <v>283</v>
      </c>
      <c r="CY9" s="147" t="s">
        <v>283</v>
      </c>
      <c r="CZ9" s="147" t="s">
        <v>283</v>
      </c>
      <c r="DA9" s="147" t="s">
        <v>283</v>
      </c>
      <c r="DB9" s="67" t="s">
        <v>283</v>
      </c>
      <c r="DC9" s="147" t="s">
        <v>283</v>
      </c>
      <c r="DD9" s="147" t="s">
        <v>283</v>
      </c>
      <c r="DE9" s="147" t="s">
        <v>283</v>
      </c>
      <c r="DF9" s="147" t="s">
        <v>283</v>
      </c>
      <c r="DG9" s="147" t="s">
        <v>283</v>
      </c>
      <c r="DH9" s="147" t="s">
        <v>283</v>
      </c>
      <c r="DI9" s="147" t="s">
        <v>283</v>
      </c>
      <c r="DJ9" s="147" t="s">
        <v>283</v>
      </c>
      <c r="DK9" s="67" t="s">
        <v>283</v>
      </c>
      <c r="DL9" s="147" t="s">
        <v>283</v>
      </c>
      <c r="DM9" s="147" t="s">
        <v>283</v>
      </c>
      <c r="DN9" s="147" t="s">
        <v>283</v>
      </c>
      <c r="DO9" s="147" t="s">
        <v>283</v>
      </c>
      <c r="DP9" s="147" t="s">
        <v>283</v>
      </c>
      <c r="DQ9" s="147" t="s">
        <v>283</v>
      </c>
      <c r="DR9" s="147" t="s">
        <v>283</v>
      </c>
      <c r="DS9" s="147" t="s">
        <v>283</v>
      </c>
      <c r="DT9" s="67" t="s">
        <v>283</v>
      </c>
      <c r="DU9" s="147" t="s">
        <v>283</v>
      </c>
      <c r="DV9" s="147" t="s">
        <v>283</v>
      </c>
      <c r="DW9" s="147" t="s">
        <v>283</v>
      </c>
      <c r="DX9" s="147" t="s">
        <v>283</v>
      </c>
      <c r="DY9" s="147" t="s">
        <v>283</v>
      </c>
      <c r="DZ9" s="147" t="s">
        <v>283</v>
      </c>
      <c r="EA9" s="147" t="s">
        <v>283</v>
      </c>
      <c r="EB9" s="147" t="s">
        <v>283</v>
      </c>
      <c r="EC9" s="67" t="s">
        <v>283</v>
      </c>
      <c r="ED9" s="147" t="s">
        <v>283</v>
      </c>
      <c r="EE9" s="147" t="s">
        <v>283</v>
      </c>
      <c r="EF9" s="147" t="s">
        <v>283</v>
      </c>
      <c r="EG9" s="147" t="s">
        <v>283</v>
      </c>
    </row>
    <row r="10" spans="1:137">
      <c r="A10" s="67" t="s">
        <v>305</v>
      </c>
      <c r="B10" s="67" t="s">
        <v>306</v>
      </c>
      <c r="C10" s="67" t="s">
        <v>287</v>
      </c>
      <c r="D10" s="67" t="s">
        <v>291</v>
      </c>
      <c r="E10" s="67" t="s">
        <v>288</v>
      </c>
      <c r="F10" s="67" t="s">
        <v>292</v>
      </c>
      <c r="G10" s="67" t="s">
        <v>286</v>
      </c>
      <c r="H10" s="67" t="s">
        <v>148</v>
      </c>
      <c r="I10" s="67" t="s">
        <v>46</v>
      </c>
      <c r="J10" s="67" t="s">
        <v>305</v>
      </c>
      <c r="K10" s="67" t="s">
        <v>284</v>
      </c>
      <c r="L10" s="67" t="s">
        <v>283</v>
      </c>
      <c r="M10" s="67" t="s">
        <v>283</v>
      </c>
      <c r="N10" s="67" t="s">
        <v>283</v>
      </c>
      <c r="O10" s="67" t="s">
        <v>283</v>
      </c>
      <c r="P10" s="67" t="s">
        <v>283</v>
      </c>
      <c r="Q10" s="67" t="s">
        <v>283</v>
      </c>
      <c r="R10" s="67" t="s">
        <v>283</v>
      </c>
      <c r="S10" s="67" t="s">
        <v>283</v>
      </c>
      <c r="T10" s="67" t="s">
        <v>283</v>
      </c>
      <c r="U10" s="67" t="s">
        <v>283</v>
      </c>
      <c r="V10" s="67" t="s">
        <v>283</v>
      </c>
      <c r="W10" s="67" t="s">
        <v>283</v>
      </c>
      <c r="X10" s="67" t="s">
        <v>283</v>
      </c>
      <c r="Y10" s="67" t="s">
        <v>283</v>
      </c>
      <c r="Z10" s="67" t="s">
        <v>283</v>
      </c>
      <c r="AA10" s="67" t="s">
        <v>283</v>
      </c>
      <c r="AB10" s="67" t="s">
        <v>283</v>
      </c>
      <c r="AC10" s="67" t="s">
        <v>283</v>
      </c>
      <c r="AD10" s="67" t="s">
        <v>283</v>
      </c>
      <c r="AE10" s="67" t="s">
        <v>283</v>
      </c>
      <c r="AF10" s="67" t="s">
        <v>283</v>
      </c>
      <c r="AG10" s="67" t="s">
        <v>283</v>
      </c>
      <c r="AH10" s="67" t="s">
        <v>283</v>
      </c>
      <c r="AI10" s="67" t="s">
        <v>283</v>
      </c>
      <c r="AJ10" s="67" t="s">
        <v>283</v>
      </c>
      <c r="AK10" s="67" t="s">
        <v>283</v>
      </c>
      <c r="AL10" s="67" t="s">
        <v>283</v>
      </c>
      <c r="AM10" s="67" t="s">
        <v>283</v>
      </c>
      <c r="AN10" s="67" t="s">
        <v>283</v>
      </c>
      <c r="AO10" s="67" t="s">
        <v>283</v>
      </c>
      <c r="AP10" s="67" t="s">
        <v>283</v>
      </c>
      <c r="AQ10" s="67" t="s">
        <v>283</v>
      </c>
      <c r="AR10" s="67" t="s">
        <v>283</v>
      </c>
      <c r="AS10" s="67" t="s">
        <v>283</v>
      </c>
      <c r="AT10" s="67" t="s">
        <v>283</v>
      </c>
      <c r="AU10" s="67" t="s">
        <v>283</v>
      </c>
      <c r="AV10" s="67" t="s">
        <v>283</v>
      </c>
      <c r="AW10" s="67" t="s">
        <v>283</v>
      </c>
      <c r="AX10" s="67" t="s">
        <v>283</v>
      </c>
      <c r="AY10" s="67" t="s">
        <v>283</v>
      </c>
      <c r="AZ10" s="67" t="s">
        <v>283</v>
      </c>
      <c r="BA10" s="67" t="s">
        <v>283</v>
      </c>
      <c r="BB10" s="67" t="s">
        <v>283</v>
      </c>
      <c r="BC10" s="67" t="s">
        <v>283</v>
      </c>
      <c r="BD10" s="67" t="s">
        <v>283</v>
      </c>
      <c r="BE10" s="67" t="s">
        <v>283</v>
      </c>
      <c r="BF10" s="67" t="s">
        <v>283</v>
      </c>
      <c r="BG10" s="67" t="s">
        <v>283</v>
      </c>
      <c r="BH10" s="67" t="s">
        <v>283</v>
      </c>
      <c r="BI10" s="67" t="s">
        <v>283</v>
      </c>
      <c r="BJ10" s="67" t="s">
        <v>283</v>
      </c>
      <c r="BK10" s="67" t="s">
        <v>283</v>
      </c>
      <c r="BL10" s="67" t="s">
        <v>283</v>
      </c>
      <c r="BM10" s="67" t="s">
        <v>283</v>
      </c>
      <c r="BN10" s="67" t="s">
        <v>283</v>
      </c>
      <c r="BO10" s="67" t="s">
        <v>283</v>
      </c>
      <c r="BP10" s="67" t="s">
        <v>283</v>
      </c>
      <c r="BQ10" s="67" t="s">
        <v>283</v>
      </c>
      <c r="BR10" s="67" t="s">
        <v>283</v>
      </c>
      <c r="BS10" s="67" t="s">
        <v>283</v>
      </c>
      <c r="BT10" s="67" t="s">
        <v>283</v>
      </c>
      <c r="BU10" s="67" t="s">
        <v>283</v>
      </c>
      <c r="BV10" s="67" t="s">
        <v>283</v>
      </c>
      <c r="BW10" s="67" t="s">
        <v>283</v>
      </c>
      <c r="BX10" s="67" t="s">
        <v>283</v>
      </c>
      <c r="BY10" s="67" t="s">
        <v>283</v>
      </c>
      <c r="BZ10" s="67" t="s">
        <v>283</v>
      </c>
      <c r="CA10" s="67" t="s">
        <v>283</v>
      </c>
      <c r="CB10" s="67" t="s">
        <v>283</v>
      </c>
      <c r="CC10" s="67" t="s">
        <v>283</v>
      </c>
      <c r="CD10" s="67" t="s">
        <v>283</v>
      </c>
      <c r="CE10" s="67" t="s">
        <v>283</v>
      </c>
      <c r="CF10" s="147" t="s">
        <v>283</v>
      </c>
      <c r="CG10" s="147" t="s">
        <v>283</v>
      </c>
      <c r="CH10" s="147" t="s">
        <v>283</v>
      </c>
      <c r="CI10" s="147" t="s">
        <v>283</v>
      </c>
      <c r="CJ10" s="67" t="s">
        <v>283</v>
      </c>
      <c r="CK10" s="147" t="s">
        <v>283</v>
      </c>
      <c r="CL10" s="147" t="s">
        <v>283</v>
      </c>
      <c r="CM10" s="147" t="s">
        <v>283</v>
      </c>
      <c r="CN10" s="147" t="s">
        <v>283</v>
      </c>
      <c r="CO10" s="147" t="s">
        <v>283</v>
      </c>
      <c r="CP10" s="147" t="s">
        <v>283</v>
      </c>
      <c r="CQ10" s="147" t="s">
        <v>283</v>
      </c>
      <c r="CR10" s="147" t="s">
        <v>283</v>
      </c>
      <c r="CS10" s="67" t="s">
        <v>283</v>
      </c>
      <c r="CT10" s="147" t="s">
        <v>283</v>
      </c>
      <c r="CU10" s="147" t="s">
        <v>283</v>
      </c>
      <c r="CV10" s="147" t="s">
        <v>283</v>
      </c>
      <c r="CW10" s="147" t="s">
        <v>283</v>
      </c>
      <c r="CX10" s="147" t="s">
        <v>283</v>
      </c>
      <c r="CY10" s="147" t="s">
        <v>283</v>
      </c>
      <c r="CZ10" s="147" t="s">
        <v>283</v>
      </c>
      <c r="DA10" s="147" t="s">
        <v>283</v>
      </c>
      <c r="DB10" s="67" t="s">
        <v>283</v>
      </c>
      <c r="DC10" s="147" t="s">
        <v>283</v>
      </c>
      <c r="DD10" s="147" t="s">
        <v>283</v>
      </c>
      <c r="DE10" s="147" t="s">
        <v>283</v>
      </c>
      <c r="DF10" s="147" t="s">
        <v>283</v>
      </c>
      <c r="DG10" s="147" t="s">
        <v>283</v>
      </c>
      <c r="DH10" s="147" t="s">
        <v>283</v>
      </c>
      <c r="DI10" s="147" t="s">
        <v>283</v>
      </c>
      <c r="DJ10" s="147" t="s">
        <v>283</v>
      </c>
      <c r="DK10" s="67" t="s">
        <v>283</v>
      </c>
      <c r="DL10" s="147" t="s">
        <v>283</v>
      </c>
      <c r="DM10" s="147" t="s">
        <v>283</v>
      </c>
      <c r="DN10" s="147" t="s">
        <v>283</v>
      </c>
      <c r="DO10" s="147" t="s">
        <v>283</v>
      </c>
      <c r="DP10" s="147" t="s">
        <v>283</v>
      </c>
      <c r="DQ10" s="147" t="s">
        <v>283</v>
      </c>
      <c r="DR10" s="147" t="s">
        <v>283</v>
      </c>
      <c r="DS10" s="147" t="s">
        <v>283</v>
      </c>
      <c r="DT10" s="67" t="s">
        <v>283</v>
      </c>
      <c r="DU10" s="147" t="s">
        <v>283</v>
      </c>
      <c r="DV10" s="147" t="s">
        <v>283</v>
      </c>
      <c r="DW10" s="147" t="s">
        <v>283</v>
      </c>
      <c r="DX10" s="147" t="s">
        <v>283</v>
      </c>
      <c r="DY10" s="147" t="s">
        <v>283</v>
      </c>
      <c r="DZ10" s="147" t="s">
        <v>283</v>
      </c>
      <c r="EA10" s="147" t="s">
        <v>283</v>
      </c>
      <c r="EB10" s="147" t="s">
        <v>283</v>
      </c>
      <c r="EC10" s="67" t="s">
        <v>283</v>
      </c>
      <c r="ED10" s="147" t="s">
        <v>283</v>
      </c>
      <c r="EE10" s="147" t="s">
        <v>283</v>
      </c>
      <c r="EF10" s="147" t="s">
        <v>283</v>
      </c>
      <c r="EG10" s="147" t="s">
        <v>283</v>
      </c>
    </row>
    <row r="11" spans="1:137">
      <c r="A11" s="67" t="s">
        <v>307</v>
      </c>
      <c r="B11" s="67" t="s">
        <v>308</v>
      </c>
      <c r="C11" s="67" t="s">
        <v>287</v>
      </c>
      <c r="D11" s="67" t="s">
        <v>291</v>
      </c>
      <c r="E11" s="67" t="s">
        <v>288</v>
      </c>
      <c r="F11" s="67" t="s">
        <v>292</v>
      </c>
      <c r="G11" s="67" t="s">
        <v>286</v>
      </c>
      <c r="H11" s="67" t="s">
        <v>148</v>
      </c>
      <c r="I11" s="67" t="s">
        <v>44</v>
      </c>
      <c r="J11" s="67" t="s">
        <v>307</v>
      </c>
      <c r="K11" s="67" t="s">
        <v>284</v>
      </c>
      <c r="L11" s="67" t="s">
        <v>283</v>
      </c>
      <c r="M11" s="67" t="s">
        <v>283</v>
      </c>
      <c r="N11" s="67" t="s">
        <v>283</v>
      </c>
      <c r="O11" s="67" t="s">
        <v>283</v>
      </c>
      <c r="P11" s="67" t="s">
        <v>283</v>
      </c>
      <c r="Q11" s="67" t="s">
        <v>283</v>
      </c>
      <c r="R11" s="67" t="s">
        <v>283</v>
      </c>
      <c r="S11" s="67" t="s">
        <v>283</v>
      </c>
      <c r="T11" s="67" t="s">
        <v>283</v>
      </c>
      <c r="U11" s="67" t="s">
        <v>283</v>
      </c>
      <c r="V11" s="67" t="s">
        <v>283</v>
      </c>
      <c r="W11" s="67" t="s">
        <v>283</v>
      </c>
      <c r="X11" s="67" t="s">
        <v>283</v>
      </c>
      <c r="Y11" s="67" t="s">
        <v>283</v>
      </c>
      <c r="Z11" s="67" t="s">
        <v>283</v>
      </c>
      <c r="AA11" s="67" t="s">
        <v>283</v>
      </c>
      <c r="AB11" s="67" t="s">
        <v>283</v>
      </c>
      <c r="AC11" s="67" t="s">
        <v>283</v>
      </c>
      <c r="AD11" s="67" t="s">
        <v>283</v>
      </c>
      <c r="AE11" s="67" t="s">
        <v>283</v>
      </c>
      <c r="AF11" s="67" t="s">
        <v>283</v>
      </c>
      <c r="AG11" s="67" t="s">
        <v>283</v>
      </c>
      <c r="AH11" s="67" t="s">
        <v>283</v>
      </c>
      <c r="AI11" s="67" t="s">
        <v>283</v>
      </c>
      <c r="AJ11" s="67" t="s">
        <v>283</v>
      </c>
      <c r="AK11" s="67" t="s">
        <v>283</v>
      </c>
      <c r="AL11" s="67" t="s">
        <v>283</v>
      </c>
      <c r="AM11" s="67" t="s">
        <v>283</v>
      </c>
      <c r="AN11" s="67" t="s">
        <v>283</v>
      </c>
      <c r="AO11" s="67" t="s">
        <v>283</v>
      </c>
      <c r="AP11" s="67" t="s">
        <v>283</v>
      </c>
      <c r="AQ11" s="67" t="s">
        <v>283</v>
      </c>
      <c r="AR11" s="67" t="s">
        <v>283</v>
      </c>
      <c r="AS11" s="67" t="s">
        <v>283</v>
      </c>
      <c r="AT11" s="67" t="s">
        <v>283</v>
      </c>
      <c r="AU11" s="67" t="s">
        <v>283</v>
      </c>
      <c r="AV11" s="67" t="s">
        <v>283</v>
      </c>
      <c r="AW11" s="67" t="s">
        <v>283</v>
      </c>
      <c r="AX11" s="67" t="s">
        <v>283</v>
      </c>
      <c r="AY11" s="67" t="s">
        <v>283</v>
      </c>
      <c r="AZ11" s="67" t="s">
        <v>283</v>
      </c>
      <c r="BA11" s="67" t="s">
        <v>283</v>
      </c>
      <c r="BB11" s="67" t="s">
        <v>283</v>
      </c>
      <c r="BC11" s="67" t="s">
        <v>283</v>
      </c>
      <c r="BD11" s="67" t="s">
        <v>283</v>
      </c>
      <c r="BE11" s="67" t="s">
        <v>283</v>
      </c>
      <c r="BF11" s="67" t="s">
        <v>283</v>
      </c>
      <c r="BG11" s="67" t="s">
        <v>283</v>
      </c>
      <c r="BH11" s="67" t="s">
        <v>283</v>
      </c>
      <c r="BI11" s="67" t="s">
        <v>283</v>
      </c>
      <c r="BJ11" s="67" t="s">
        <v>283</v>
      </c>
      <c r="BK11" s="67" t="s">
        <v>283</v>
      </c>
      <c r="BL11" s="67" t="s">
        <v>283</v>
      </c>
      <c r="BM11" s="67" t="s">
        <v>283</v>
      </c>
      <c r="BN11" s="67" t="s">
        <v>283</v>
      </c>
      <c r="BO11" s="67" t="s">
        <v>283</v>
      </c>
      <c r="BP11" s="67" t="s">
        <v>283</v>
      </c>
      <c r="BQ11" s="67" t="s">
        <v>283</v>
      </c>
      <c r="BR11" s="67" t="s">
        <v>283</v>
      </c>
      <c r="BS11" s="67" t="s">
        <v>283</v>
      </c>
      <c r="BT11" s="67" t="s">
        <v>283</v>
      </c>
      <c r="BU11" s="67" t="s">
        <v>283</v>
      </c>
      <c r="BV11" s="67" t="s">
        <v>283</v>
      </c>
      <c r="BW11" s="67" t="s">
        <v>283</v>
      </c>
      <c r="BX11" s="67" t="s">
        <v>283</v>
      </c>
      <c r="BY11" s="67" t="s">
        <v>283</v>
      </c>
      <c r="BZ11" s="67" t="s">
        <v>283</v>
      </c>
      <c r="CA11" s="67" t="s">
        <v>283</v>
      </c>
      <c r="CB11" s="67" t="s">
        <v>283</v>
      </c>
      <c r="CC11" s="67" t="s">
        <v>283</v>
      </c>
      <c r="CD11" s="67" t="s">
        <v>283</v>
      </c>
      <c r="CE11" s="67" t="s">
        <v>283</v>
      </c>
      <c r="CF11" s="147" t="s">
        <v>283</v>
      </c>
      <c r="CG11" s="147" t="s">
        <v>283</v>
      </c>
      <c r="CH11" s="147" t="s">
        <v>283</v>
      </c>
      <c r="CI11" s="147" t="s">
        <v>283</v>
      </c>
      <c r="CJ11" s="67" t="s">
        <v>283</v>
      </c>
      <c r="CK11" s="147" t="s">
        <v>283</v>
      </c>
      <c r="CL11" s="147" t="s">
        <v>283</v>
      </c>
      <c r="CM11" s="147" t="s">
        <v>283</v>
      </c>
      <c r="CN11" s="147" t="s">
        <v>283</v>
      </c>
      <c r="CO11" s="147" t="s">
        <v>283</v>
      </c>
      <c r="CP11" s="147" t="s">
        <v>283</v>
      </c>
      <c r="CQ11" s="147" t="s">
        <v>283</v>
      </c>
      <c r="CR11" s="147" t="s">
        <v>283</v>
      </c>
      <c r="CS11" s="67" t="s">
        <v>283</v>
      </c>
      <c r="CT11" s="147" t="s">
        <v>283</v>
      </c>
      <c r="CU11" s="147" t="s">
        <v>283</v>
      </c>
      <c r="CV11" s="147" t="s">
        <v>283</v>
      </c>
      <c r="CW11" s="147" t="s">
        <v>283</v>
      </c>
      <c r="CX11" s="147" t="s">
        <v>283</v>
      </c>
      <c r="CY11" s="147" t="s">
        <v>283</v>
      </c>
      <c r="CZ11" s="147" t="s">
        <v>283</v>
      </c>
      <c r="DA11" s="147" t="s">
        <v>283</v>
      </c>
      <c r="DB11" s="67" t="s">
        <v>283</v>
      </c>
      <c r="DC11" s="147" t="s">
        <v>283</v>
      </c>
      <c r="DD11" s="147" t="s">
        <v>283</v>
      </c>
      <c r="DE11" s="147" t="s">
        <v>283</v>
      </c>
      <c r="DF11" s="147" t="s">
        <v>283</v>
      </c>
      <c r="DG11" s="147" t="s">
        <v>283</v>
      </c>
      <c r="DH11" s="147" t="s">
        <v>283</v>
      </c>
      <c r="DI11" s="147" t="s">
        <v>283</v>
      </c>
      <c r="DJ11" s="147" t="s">
        <v>283</v>
      </c>
      <c r="DK11" s="67" t="s">
        <v>283</v>
      </c>
      <c r="DL11" s="147" t="s">
        <v>283</v>
      </c>
      <c r="DM11" s="147" t="s">
        <v>283</v>
      </c>
      <c r="DN11" s="147" t="s">
        <v>283</v>
      </c>
      <c r="DO11" s="147" t="s">
        <v>283</v>
      </c>
      <c r="DP11" s="147" t="s">
        <v>283</v>
      </c>
      <c r="DQ11" s="147" t="s">
        <v>283</v>
      </c>
      <c r="DR11" s="147" t="s">
        <v>283</v>
      </c>
      <c r="DS11" s="147" t="s">
        <v>283</v>
      </c>
      <c r="DT11" s="67" t="s">
        <v>283</v>
      </c>
      <c r="DU11" s="147" t="s">
        <v>283</v>
      </c>
      <c r="DV11" s="147" t="s">
        <v>283</v>
      </c>
      <c r="DW11" s="147" t="s">
        <v>283</v>
      </c>
      <c r="DX11" s="147" t="s">
        <v>283</v>
      </c>
      <c r="DY11" s="147" t="s">
        <v>283</v>
      </c>
      <c r="DZ11" s="147" t="s">
        <v>283</v>
      </c>
      <c r="EA11" s="147" t="s">
        <v>283</v>
      </c>
      <c r="EB11" s="147" t="s">
        <v>283</v>
      </c>
      <c r="EC11" s="67" t="s">
        <v>283</v>
      </c>
      <c r="ED11" s="147" t="s">
        <v>283</v>
      </c>
      <c r="EE11" s="147" t="s">
        <v>283</v>
      </c>
      <c r="EF11" s="147" t="s">
        <v>283</v>
      </c>
      <c r="EG11" s="147" t="s">
        <v>283</v>
      </c>
    </row>
    <row r="12" spans="1:137">
      <c r="A12" s="67" t="s">
        <v>309</v>
      </c>
      <c r="B12" s="67" t="s">
        <v>310</v>
      </c>
      <c r="C12" s="67" t="s">
        <v>287</v>
      </c>
      <c r="D12" s="67" t="s">
        <v>291</v>
      </c>
      <c r="E12" s="67" t="s">
        <v>288</v>
      </c>
      <c r="F12" s="67" t="s">
        <v>292</v>
      </c>
      <c r="G12" s="67" t="s">
        <v>286</v>
      </c>
      <c r="H12" s="67" t="s">
        <v>148</v>
      </c>
      <c r="I12" s="67" t="s">
        <v>47</v>
      </c>
      <c r="J12" s="67" t="s">
        <v>309</v>
      </c>
      <c r="K12" s="67" t="s">
        <v>284</v>
      </c>
      <c r="L12" s="67" t="s">
        <v>283</v>
      </c>
      <c r="M12" s="67" t="s">
        <v>283</v>
      </c>
      <c r="N12" s="67" t="s">
        <v>283</v>
      </c>
      <c r="O12" s="67" t="s">
        <v>283</v>
      </c>
      <c r="P12" s="67" t="s">
        <v>283</v>
      </c>
      <c r="Q12" s="67" t="s">
        <v>283</v>
      </c>
      <c r="R12" s="67" t="s">
        <v>283</v>
      </c>
      <c r="S12" s="67" t="s">
        <v>283</v>
      </c>
      <c r="T12" s="67" t="s">
        <v>283</v>
      </c>
      <c r="U12" s="67" t="s">
        <v>283</v>
      </c>
      <c r="V12" s="67" t="s">
        <v>283</v>
      </c>
      <c r="W12" s="67" t="s">
        <v>283</v>
      </c>
      <c r="X12" s="67" t="s">
        <v>283</v>
      </c>
      <c r="Y12" s="67" t="s">
        <v>283</v>
      </c>
      <c r="Z12" s="67" t="s">
        <v>283</v>
      </c>
      <c r="AA12" s="67" t="s">
        <v>283</v>
      </c>
      <c r="AB12" s="67" t="s">
        <v>283</v>
      </c>
      <c r="AC12" s="67" t="s">
        <v>283</v>
      </c>
      <c r="AD12" s="67" t="s">
        <v>283</v>
      </c>
      <c r="AE12" s="67" t="s">
        <v>283</v>
      </c>
      <c r="AF12" s="67" t="s">
        <v>283</v>
      </c>
      <c r="AG12" s="67" t="s">
        <v>283</v>
      </c>
      <c r="AH12" s="67" t="s">
        <v>283</v>
      </c>
      <c r="AI12" s="67" t="s">
        <v>283</v>
      </c>
      <c r="AJ12" s="67" t="s">
        <v>283</v>
      </c>
      <c r="AK12" s="67" t="s">
        <v>283</v>
      </c>
      <c r="AL12" s="67" t="s">
        <v>283</v>
      </c>
      <c r="AM12" s="67" t="s">
        <v>283</v>
      </c>
      <c r="AN12" s="67" t="s">
        <v>283</v>
      </c>
      <c r="AO12" s="67" t="s">
        <v>283</v>
      </c>
      <c r="AP12" s="67" t="s">
        <v>283</v>
      </c>
      <c r="AQ12" s="67" t="s">
        <v>283</v>
      </c>
      <c r="AR12" s="67" t="s">
        <v>283</v>
      </c>
      <c r="AS12" s="67" t="s">
        <v>283</v>
      </c>
      <c r="AT12" s="67" t="s">
        <v>283</v>
      </c>
      <c r="AU12" s="67" t="s">
        <v>283</v>
      </c>
      <c r="AV12" s="67" t="s">
        <v>283</v>
      </c>
      <c r="AW12" s="67" t="s">
        <v>283</v>
      </c>
      <c r="AX12" s="67" t="s">
        <v>283</v>
      </c>
      <c r="AY12" s="67" t="s">
        <v>283</v>
      </c>
      <c r="AZ12" s="67" t="s">
        <v>283</v>
      </c>
      <c r="BA12" s="67" t="s">
        <v>283</v>
      </c>
      <c r="BB12" s="67" t="s">
        <v>283</v>
      </c>
      <c r="BC12" s="67" t="s">
        <v>283</v>
      </c>
      <c r="BD12" s="67" t="s">
        <v>283</v>
      </c>
      <c r="BE12" s="67" t="s">
        <v>283</v>
      </c>
      <c r="BF12" s="67" t="s">
        <v>283</v>
      </c>
      <c r="BG12" s="67" t="s">
        <v>283</v>
      </c>
      <c r="BH12" s="67" t="s">
        <v>283</v>
      </c>
      <c r="BI12" s="67" t="s">
        <v>283</v>
      </c>
      <c r="BJ12" s="67" t="s">
        <v>283</v>
      </c>
      <c r="BK12" s="67" t="s">
        <v>283</v>
      </c>
      <c r="BL12" s="67" t="s">
        <v>283</v>
      </c>
      <c r="BM12" s="67" t="s">
        <v>283</v>
      </c>
      <c r="BN12" s="67" t="s">
        <v>283</v>
      </c>
      <c r="BO12" s="67" t="s">
        <v>283</v>
      </c>
      <c r="BP12" s="67" t="s">
        <v>283</v>
      </c>
      <c r="BQ12" s="67" t="s">
        <v>283</v>
      </c>
      <c r="BR12" s="67" t="s">
        <v>283</v>
      </c>
      <c r="BS12" s="67" t="s">
        <v>283</v>
      </c>
      <c r="BT12" s="67" t="s">
        <v>283</v>
      </c>
      <c r="BU12" s="67" t="s">
        <v>283</v>
      </c>
      <c r="BV12" s="67" t="s">
        <v>283</v>
      </c>
      <c r="BW12" s="67" t="s">
        <v>283</v>
      </c>
      <c r="BX12" s="67" t="s">
        <v>283</v>
      </c>
      <c r="BY12" s="67" t="s">
        <v>283</v>
      </c>
      <c r="BZ12" s="67" t="s">
        <v>283</v>
      </c>
      <c r="CA12" s="67" t="s">
        <v>283</v>
      </c>
      <c r="CB12" s="67" t="s">
        <v>283</v>
      </c>
      <c r="CC12" s="67" t="s">
        <v>283</v>
      </c>
      <c r="CD12" s="67" t="s">
        <v>283</v>
      </c>
      <c r="CE12" s="67" t="s">
        <v>283</v>
      </c>
      <c r="CF12" s="147" t="s">
        <v>283</v>
      </c>
      <c r="CG12" s="147" t="s">
        <v>283</v>
      </c>
      <c r="CH12" s="147" t="s">
        <v>283</v>
      </c>
      <c r="CI12" s="147" t="s">
        <v>283</v>
      </c>
      <c r="CJ12" s="67" t="s">
        <v>283</v>
      </c>
      <c r="CK12" s="147" t="s">
        <v>283</v>
      </c>
      <c r="CL12" s="147" t="s">
        <v>283</v>
      </c>
      <c r="CM12" s="147" t="s">
        <v>283</v>
      </c>
      <c r="CN12" s="147" t="s">
        <v>283</v>
      </c>
      <c r="CO12" s="147" t="s">
        <v>283</v>
      </c>
      <c r="CP12" s="147" t="s">
        <v>283</v>
      </c>
      <c r="CQ12" s="147" t="s">
        <v>283</v>
      </c>
      <c r="CR12" s="147" t="s">
        <v>283</v>
      </c>
      <c r="CS12" s="67" t="s">
        <v>283</v>
      </c>
      <c r="CT12" s="147" t="s">
        <v>283</v>
      </c>
      <c r="CU12" s="147" t="s">
        <v>283</v>
      </c>
      <c r="CV12" s="147" t="s">
        <v>283</v>
      </c>
      <c r="CW12" s="147" t="s">
        <v>283</v>
      </c>
      <c r="CX12" s="147" t="s">
        <v>283</v>
      </c>
      <c r="CY12" s="147" t="s">
        <v>283</v>
      </c>
      <c r="CZ12" s="147" t="s">
        <v>283</v>
      </c>
      <c r="DA12" s="147" t="s">
        <v>283</v>
      </c>
      <c r="DB12" s="67" t="s">
        <v>283</v>
      </c>
      <c r="DC12" s="147" t="s">
        <v>283</v>
      </c>
      <c r="DD12" s="147" t="s">
        <v>283</v>
      </c>
      <c r="DE12" s="147" t="s">
        <v>283</v>
      </c>
      <c r="DF12" s="147" t="s">
        <v>283</v>
      </c>
      <c r="DG12" s="147" t="s">
        <v>283</v>
      </c>
      <c r="DH12" s="147" t="s">
        <v>283</v>
      </c>
      <c r="DI12" s="147" t="s">
        <v>283</v>
      </c>
      <c r="DJ12" s="147" t="s">
        <v>283</v>
      </c>
      <c r="DK12" s="67" t="s">
        <v>283</v>
      </c>
      <c r="DL12" s="147" t="s">
        <v>283</v>
      </c>
      <c r="DM12" s="147" t="s">
        <v>283</v>
      </c>
      <c r="DN12" s="147" t="s">
        <v>283</v>
      </c>
      <c r="DO12" s="147" t="s">
        <v>283</v>
      </c>
      <c r="DP12" s="147" t="s">
        <v>283</v>
      </c>
      <c r="DQ12" s="147" t="s">
        <v>283</v>
      </c>
      <c r="DR12" s="147" t="s">
        <v>283</v>
      </c>
      <c r="DS12" s="147" t="s">
        <v>283</v>
      </c>
      <c r="DT12" s="67" t="s">
        <v>283</v>
      </c>
      <c r="DU12" s="147" t="s">
        <v>283</v>
      </c>
      <c r="DV12" s="147" t="s">
        <v>283</v>
      </c>
      <c r="DW12" s="147" t="s">
        <v>283</v>
      </c>
      <c r="DX12" s="147" t="s">
        <v>283</v>
      </c>
      <c r="DY12" s="147" t="s">
        <v>283</v>
      </c>
      <c r="DZ12" s="147" t="s">
        <v>283</v>
      </c>
      <c r="EA12" s="147" t="s">
        <v>283</v>
      </c>
      <c r="EB12" s="147" t="s">
        <v>283</v>
      </c>
      <c r="EC12" s="67" t="s">
        <v>283</v>
      </c>
      <c r="ED12" s="147" t="s">
        <v>283</v>
      </c>
      <c r="EE12" s="147" t="s">
        <v>283</v>
      </c>
      <c r="EF12" s="147" t="s">
        <v>283</v>
      </c>
      <c r="EG12" s="147" t="s">
        <v>283</v>
      </c>
    </row>
    <row r="13" spans="1:137">
      <c r="A13" s="67" t="s">
        <v>311</v>
      </c>
      <c r="B13" s="67" t="s">
        <v>312</v>
      </c>
      <c r="C13" s="67" t="s">
        <v>287</v>
      </c>
      <c r="D13" s="67" t="s">
        <v>291</v>
      </c>
      <c r="E13" s="67" t="s">
        <v>288</v>
      </c>
      <c r="F13" s="67" t="s">
        <v>292</v>
      </c>
      <c r="G13" s="67" t="s">
        <v>286</v>
      </c>
      <c r="H13" s="67" t="s">
        <v>148</v>
      </c>
      <c r="I13" s="67" t="s">
        <v>16</v>
      </c>
      <c r="J13" s="67" t="s">
        <v>311</v>
      </c>
      <c r="K13" s="67" t="s">
        <v>284</v>
      </c>
      <c r="L13" s="67">
        <v>66.2</v>
      </c>
      <c r="M13" s="67">
        <v>69</v>
      </c>
      <c r="N13" s="67">
        <v>67.8</v>
      </c>
      <c r="O13" s="67">
        <v>71.8</v>
      </c>
      <c r="P13" s="67">
        <v>68.900000000000006</v>
      </c>
      <c r="Q13" s="67">
        <v>74.7</v>
      </c>
      <c r="R13" s="67">
        <v>77.5</v>
      </c>
      <c r="S13" s="67">
        <v>80.3</v>
      </c>
      <c r="T13" s="67">
        <v>83.1</v>
      </c>
      <c r="U13" s="67">
        <v>67.900000000000006</v>
      </c>
      <c r="V13" s="67">
        <v>70.599999999999994</v>
      </c>
      <c r="W13" s="67">
        <v>67.5</v>
      </c>
      <c r="X13" s="67">
        <v>73.3</v>
      </c>
      <c r="Y13" s="67">
        <v>75.2</v>
      </c>
      <c r="Z13" s="67">
        <v>75.900000000000006</v>
      </c>
      <c r="AA13" s="67">
        <v>78.599999999999994</v>
      </c>
      <c r="AB13" s="67">
        <v>81.3</v>
      </c>
      <c r="AC13" s="67">
        <v>84</v>
      </c>
      <c r="AD13" s="67">
        <v>58.7</v>
      </c>
      <c r="AE13" s="67">
        <v>62.1</v>
      </c>
      <c r="AF13" s="67">
        <v>64.099999999999994</v>
      </c>
      <c r="AG13" s="67">
        <v>65.599999999999994</v>
      </c>
      <c r="AH13" s="67">
        <v>73.599999999999994</v>
      </c>
      <c r="AI13" s="67">
        <v>69</v>
      </c>
      <c r="AJ13" s="67">
        <v>72.5</v>
      </c>
      <c r="AK13" s="67">
        <v>75.900000000000006</v>
      </c>
      <c r="AL13" s="67">
        <v>79.400000000000006</v>
      </c>
      <c r="AM13" s="67" t="s">
        <v>283</v>
      </c>
      <c r="AN13" s="67" t="s">
        <v>283</v>
      </c>
      <c r="AO13" s="67" t="s">
        <v>283</v>
      </c>
      <c r="AP13" s="67" t="s">
        <v>283</v>
      </c>
      <c r="AQ13" s="67" t="s">
        <v>283</v>
      </c>
      <c r="AR13" s="67" t="s">
        <v>283</v>
      </c>
      <c r="AS13" s="67" t="s">
        <v>283</v>
      </c>
      <c r="AT13" s="67" t="s">
        <v>283</v>
      </c>
      <c r="AU13" s="67" t="s">
        <v>283</v>
      </c>
      <c r="AV13" s="67" t="s">
        <v>283</v>
      </c>
      <c r="AW13" s="67" t="s">
        <v>283</v>
      </c>
      <c r="AX13" s="67" t="s">
        <v>283</v>
      </c>
      <c r="AY13" s="67" t="s">
        <v>283</v>
      </c>
      <c r="AZ13" s="67" t="s">
        <v>283</v>
      </c>
      <c r="BA13" s="67" t="s">
        <v>283</v>
      </c>
      <c r="BB13" s="67" t="s">
        <v>283</v>
      </c>
      <c r="BC13" s="67" t="s">
        <v>283</v>
      </c>
      <c r="BD13" s="67" t="s">
        <v>283</v>
      </c>
      <c r="BE13" s="67" t="s">
        <v>283</v>
      </c>
      <c r="BF13" s="67" t="s">
        <v>283</v>
      </c>
      <c r="BG13" s="67" t="s">
        <v>283</v>
      </c>
      <c r="BH13" s="67" t="s">
        <v>283</v>
      </c>
      <c r="BI13" s="67" t="s">
        <v>283</v>
      </c>
      <c r="BJ13" s="67" t="s">
        <v>283</v>
      </c>
      <c r="BK13" s="67" t="s">
        <v>283</v>
      </c>
      <c r="BL13" s="67" t="s">
        <v>283</v>
      </c>
      <c r="BM13" s="67" t="s">
        <v>283</v>
      </c>
      <c r="BN13" s="67">
        <v>40</v>
      </c>
      <c r="BO13" s="67">
        <v>50</v>
      </c>
      <c r="BP13" s="67">
        <v>48.5</v>
      </c>
      <c r="BQ13" s="67">
        <v>51</v>
      </c>
      <c r="BR13" s="67">
        <v>51.5</v>
      </c>
      <c r="BS13" s="67">
        <v>51</v>
      </c>
      <c r="BT13" s="67">
        <v>51</v>
      </c>
      <c r="BU13" s="67">
        <v>51</v>
      </c>
      <c r="BV13" s="67">
        <v>51</v>
      </c>
      <c r="BW13" s="67">
        <v>41</v>
      </c>
      <c r="BX13" s="67">
        <v>51</v>
      </c>
      <c r="BY13" s="67">
        <v>59</v>
      </c>
      <c r="BZ13" s="67">
        <v>51</v>
      </c>
      <c r="CA13" s="67">
        <v>61</v>
      </c>
      <c r="CB13" s="67">
        <v>51</v>
      </c>
      <c r="CC13" s="67">
        <v>51</v>
      </c>
      <c r="CD13" s="67">
        <v>51</v>
      </c>
      <c r="CE13" s="67">
        <v>51</v>
      </c>
      <c r="CF13" s="147" t="s">
        <v>283</v>
      </c>
      <c r="CG13" s="147" t="s">
        <v>283</v>
      </c>
      <c r="CH13" s="147" t="s">
        <v>283</v>
      </c>
      <c r="CI13" s="147" t="s">
        <v>283</v>
      </c>
      <c r="CJ13" s="67">
        <v>17</v>
      </c>
      <c r="CK13" s="147" t="s">
        <v>349</v>
      </c>
      <c r="CL13" s="147" t="s">
        <v>349</v>
      </c>
      <c r="CM13" s="147" t="s">
        <v>349</v>
      </c>
      <c r="CN13" s="147" t="s">
        <v>349</v>
      </c>
      <c r="CO13" s="147" t="s">
        <v>283</v>
      </c>
      <c r="CP13" s="147" t="s">
        <v>283</v>
      </c>
      <c r="CQ13" s="147" t="s">
        <v>283</v>
      </c>
      <c r="CR13" s="147" t="s">
        <v>283</v>
      </c>
      <c r="CS13" s="67">
        <v>11.4</v>
      </c>
      <c r="CT13" s="147" t="s">
        <v>349</v>
      </c>
      <c r="CU13" s="147" t="s">
        <v>349</v>
      </c>
      <c r="CV13" s="147" t="s">
        <v>349</v>
      </c>
      <c r="CW13" s="147" t="s">
        <v>349</v>
      </c>
      <c r="CX13" s="147" t="s">
        <v>283</v>
      </c>
      <c r="CY13" s="147" t="s">
        <v>283</v>
      </c>
      <c r="CZ13" s="147" t="s">
        <v>283</v>
      </c>
      <c r="DA13" s="147" t="s">
        <v>283</v>
      </c>
      <c r="DB13" s="67">
        <v>11.4</v>
      </c>
      <c r="DC13" s="147" t="s">
        <v>349</v>
      </c>
      <c r="DD13" s="147" t="s">
        <v>349</v>
      </c>
      <c r="DE13" s="147" t="s">
        <v>349</v>
      </c>
      <c r="DF13" s="147" t="s">
        <v>349</v>
      </c>
      <c r="DG13" s="147" t="s">
        <v>283</v>
      </c>
      <c r="DH13" s="147" t="s">
        <v>283</v>
      </c>
      <c r="DI13" s="147" t="s">
        <v>283</v>
      </c>
      <c r="DJ13" s="147" t="s">
        <v>283</v>
      </c>
      <c r="DK13" s="67">
        <v>1.9</v>
      </c>
      <c r="DL13" s="147" t="s">
        <v>349</v>
      </c>
      <c r="DM13" s="147" t="s">
        <v>349</v>
      </c>
      <c r="DN13" s="147" t="s">
        <v>349</v>
      </c>
      <c r="DO13" s="147" t="s">
        <v>349</v>
      </c>
      <c r="DP13" s="147" t="s">
        <v>283</v>
      </c>
      <c r="DQ13" s="147" t="s">
        <v>283</v>
      </c>
      <c r="DR13" s="147" t="s">
        <v>283</v>
      </c>
      <c r="DS13" s="147" t="s">
        <v>283</v>
      </c>
      <c r="DT13" s="67">
        <v>16.2</v>
      </c>
      <c r="DU13" s="147" t="s">
        <v>349</v>
      </c>
      <c r="DV13" s="147" t="s">
        <v>349</v>
      </c>
      <c r="DW13" s="147" t="s">
        <v>349</v>
      </c>
      <c r="DX13" s="147" t="s">
        <v>349</v>
      </c>
      <c r="DY13" s="147" t="s">
        <v>283</v>
      </c>
      <c r="DZ13" s="147" t="s">
        <v>283</v>
      </c>
      <c r="EA13" s="147" t="s">
        <v>283</v>
      </c>
      <c r="EB13" s="147" t="s">
        <v>283</v>
      </c>
      <c r="EC13" s="67">
        <v>8.6</v>
      </c>
      <c r="ED13" s="147" t="s">
        <v>349</v>
      </c>
      <c r="EE13" s="147" t="s">
        <v>349</v>
      </c>
      <c r="EF13" s="147" t="s">
        <v>349</v>
      </c>
      <c r="EG13" s="147" t="s">
        <v>349</v>
      </c>
    </row>
    <row r="14" spans="1:137">
      <c r="A14" s="67" t="s">
        <v>313</v>
      </c>
      <c r="B14" s="67" t="s">
        <v>314</v>
      </c>
      <c r="C14" s="67" t="s">
        <v>287</v>
      </c>
      <c r="D14" s="67" t="s">
        <v>291</v>
      </c>
      <c r="E14" s="67" t="s">
        <v>288</v>
      </c>
      <c r="F14" s="67" t="s">
        <v>292</v>
      </c>
      <c r="G14" s="67" t="s">
        <v>286</v>
      </c>
      <c r="H14" s="67" t="s">
        <v>148</v>
      </c>
      <c r="I14" s="67" t="s">
        <v>285</v>
      </c>
      <c r="J14" s="67" t="s">
        <v>313</v>
      </c>
      <c r="K14" s="67" t="s">
        <v>284</v>
      </c>
      <c r="L14" s="67">
        <v>67.7</v>
      </c>
      <c r="M14" s="67">
        <v>70.400000000000006</v>
      </c>
      <c r="N14" s="67">
        <v>68.8</v>
      </c>
      <c r="O14" s="67">
        <v>73.099999999999994</v>
      </c>
      <c r="P14" s="67">
        <v>69.3</v>
      </c>
      <c r="Q14" s="67">
        <v>75.8</v>
      </c>
      <c r="R14" s="67">
        <v>78.5</v>
      </c>
      <c r="S14" s="67">
        <v>81.2</v>
      </c>
      <c r="T14" s="67">
        <v>83.9</v>
      </c>
      <c r="U14" s="67">
        <v>70</v>
      </c>
      <c r="V14" s="67">
        <v>72.5</v>
      </c>
      <c r="W14" s="67">
        <v>68.8</v>
      </c>
      <c r="X14" s="67">
        <v>75</v>
      </c>
      <c r="Y14" s="67">
        <v>75</v>
      </c>
      <c r="Z14" s="67">
        <v>77.5</v>
      </c>
      <c r="AA14" s="67">
        <v>80</v>
      </c>
      <c r="AB14" s="67">
        <v>82.5</v>
      </c>
      <c r="AC14" s="67">
        <v>85</v>
      </c>
      <c r="AD14" s="67">
        <v>58.3</v>
      </c>
      <c r="AE14" s="67">
        <v>61.8</v>
      </c>
      <c r="AF14" s="67">
        <v>66</v>
      </c>
      <c r="AG14" s="67">
        <v>65.3</v>
      </c>
      <c r="AH14" s="67">
        <v>73</v>
      </c>
      <c r="AI14" s="67">
        <v>68.7</v>
      </c>
      <c r="AJ14" s="67">
        <v>72.2</v>
      </c>
      <c r="AK14" s="67">
        <v>75.7</v>
      </c>
      <c r="AL14" s="67">
        <v>79.2</v>
      </c>
      <c r="AM14" s="67" t="s">
        <v>283</v>
      </c>
      <c r="AN14" s="67" t="s">
        <v>283</v>
      </c>
      <c r="AO14" s="67" t="s">
        <v>283</v>
      </c>
      <c r="AP14" s="67" t="s">
        <v>283</v>
      </c>
      <c r="AQ14" s="67" t="s">
        <v>283</v>
      </c>
      <c r="AR14" s="67" t="s">
        <v>283</v>
      </c>
      <c r="AS14" s="67" t="s">
        <v>283</v>
      </c>
      <c r="AT14" s="67" t="s">
        <v>283</v>
      </c>
      <c r="AU14" s="67" t="s">
        <v>283</v>
      </c>
      <c r="AV14" s="67" t="s">
        <v>283</v>
      </c>
      <c r="AW14" s="67" t="s">
        <v>283</v>
      </c>
      <c r="AX14" s="67" t="s">
        <v>283</v>
      </c>
      <c r="AY14" s="67" t="s">
        <v>283</v>
      </c>
      <c r="AZ14" s="67" t="s">
        <v>283</v>
      </c>
      <c r="BA14" s="67" t="s">
        <v>283</v>
      </c>
      <c r="BB14" s="67" t="s">
        <v>283</v>
      </c>
      <c r="BC14" s="67" t="s">
        <v>283</v>
      </c>
      <c r="BD14" s="67" t="s">
        <v>283</v>
      </c>
      <c r="BE14" s="67" t="s">
        <v>283</v>
      </c>
      <c r="BF14" s="67" t="s">
        <v>283</v>
      </c>
      <c r="BG14" s="67" t="s">
        <v>283</v>
      </c>
      <c r="BH14" s="67" t="s">
        <v>283</v>
      </c>
      <c r="BI14" s="67" t="s">
        <v>283</v>
      </c>
      <c r="BJ14" s="67" t="s">
        <v>283</v>
      </c>
      <c r="BK14" s="67" t="s">
        <v>283</v>
      </c>
      <c r="BL14" s="67" t="s">
        <v>283</v>
      </c>
      <c r="BM14" s="67" t="s">
        <v>283</v>
      </c>
      <c r="BN14" s="67">
        <v>40</v>
      </c>
      <c r="BO14" s="67">
        <v>50</v>
      </c>
      <c r="BP14" s="67">
        <v>52</v>
      </c>
      <c r="BQ14" s="67">
        <v>51</v>
      </c>
      <c r="BR14" s="67">
        <v>50</v>
      </c>
      <c r="BS14" s="67">
        <v>51</v>
      </c>
      <c r="BT14" s="67">
        <v>51</v>
      </c>
      <c r="BU14" s="67">
        <v>51</v>
      </c>
      <c r="BV14" s="67">
        <v>51</v>
      </c>
      <c r="BW14" s="67">
        <v>39</v>
      </c>
      <c r="BX14" s="67">
        <v>49</v>
      </c>
      <c r="BY14" s="67">
        <v>58.5</v>
      </c>
      <c r="BZ14" s="67">
        <v>51</v>
      </c>
      <c r="CA14" s="67">
        <v>60</v>
      </c>
      <c r="CB14" s="67">
        <v>51</v>
      </c>
      <c r="CC14" s="67">
        <v>51</v>
      </c>
      <c r="CD14" s="67">
        <v>51</v>
      </c>
      <c r="CE14" s="67">
        <v>51</v>
      </c>
      <c r="CF14" s="147" t="s">
        <v>283</v>
      </c>
      <c r="CG14" s="147" t="s">
        <v>283</v>
      </c>
      <c r="CH14" s="147" t="s">
        <v>283</v>
      </c>
      <c r="CI14" s="147" t="s">
        <v>283</v>
      </c>
      <c r="CJ14" s="67">
        <v>16.5</v>
      </c>
      <c r="CK14" s="147" t="s">
        <v>349</v>
      </c>
      <c r="CL14" s="147" t="s">
        <v>349</v>
      </c>
      <c r="CM14" s="147" t="s">
        <v>349</v>
      </c>
      <c r="CN14" s="147" t="s">
        <v>349</v>
      </c>
      <c r="CO14" s="147" t="s">
        <v>283</v>
      </c>
      <c r="CP14" s="147" t="s">
        <v>283</v>
      </c>
      <c r="CQ14" s="147" t="s">
        <v>283</v>
      </c>
      <c r="CR14" s="147" t="s">
        <v>283</v>
      </c>
      <c r="CS14" s="67">
        <v>11.4</v>
      </c>
      <c r="CT14" s="147" t="s">
        <v>349</v>
      </c>
      <c r="CU14" s="147" t="s">
        <v>349</v>
      </c>
      <c r="CV14" s="147" t="s">
        <v>349</v>
      </c>
      <c r="CW14" s="147" t="s">
        <v>349</v>
      </c>
      <c r="CX14" s="147" t="s">
        <v>283</v>
      </c>
      <c r="CY14" s="147" t="s">
        <v>283</v>
      </c>
      <c r="CZ14" s="147" t="s">
        <v>283</v>
      </c>
      <c r="DA14" s="147" t="s">
        <v>283</v>
      </c>
      <c r="DB14" s="67">
        <v>13.2</v>
      </c>
      <c r="DC14" s="147" t="s">
        <v>349</v>
      </c>
      <c r="DD14" s="147" t="s">
        <v>349</v>
      </c>
      <c r="DE14" s="147" t="s">
        <v>349</v>
      </c>
      <c r="DF14" s="147" t="s">
        <v>349</v>
      </c>
      <c r="DG14" s="147" t="s">
        <v>283</v>
      </c>
      <c r="DH14" s="147" t="s">
        <v>283</v>
      </c>
      <c r="DI14" s="147" t="s">
        <v>283</v>
      </c>
      <c r="DJ14" s="147" t="s">
        <v>283</v>
      </c>
      <c r="DK14" s="67">
        <v>1.7</v>
      </c>
      <c r="DL14" s="147" t="s">
        <v>349</v>
      </c>
      <c r="DM14" s="147" t="s">
        <v>349</v>
      </c>
      <c r="DN14" s="147" t="s">
        <v>349</v>
      </c>
      <c r="DO14" s="147" t="s">
        <v>349</v>
      </c>
      <c r="DP14" s="147" t="s">
        <v>283</v>
      </c>
      <c r="DQ14" s="147" t="s">
        <v>283</v>
      </c>
      <c r="DR14" s="147" t="s">
        <v>283</v>
      </c>
      <c r="DS14" s="147" t="s">
        <v>283</v>
      </c>
      <c r="DT14" s="67">
        <v>17.5</v>
      </c>
      <c r="DU14" s="147" t="s">
        <v>349</v>
      </c>
      <c r="DV14" s="147" t="s">
        <v>349</v>
      </c>
      <c r="DW14" s="147" t="s">
        <v>349</v>
      </c>
      <c r="DX14" s="147" t="s">
        <v>349</v>
      </c>
      <c r="DY14" s="147" t="s">
        <v>283</v>
      </c>
      <c r="DZ14" s="147" t="s">
        <v>283</v>
      </c>
      <c r="EA14" s="147" t="s">
        <v>283</v>
      </c>
      <c r="EB14" s="147" t="s">
        <v>283</v>
      </c>
      <c r="EC14" s="67">
        <v>7.9</v>
      </c>
      <c r="ED14" s="147" t="s">
        <v>349</v>
      </c>
      <c r="EE14" s="147" t="s">
        <v>349</v>
      </c>
      <c r="EF14" s="147" t="s">
        <v>349</v>
      </c>
      <c r="EG14" s="147" t="s">
        <v>349</v>
      </c>
    </row>
  </sheetData>
  <sheetProtection password="CC18" sheet="1" objects="1" scenarios="1" sort="0" autoFilter="0"/>
  <autoFilter ref="A2:EG14"/>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5"/>
  <sheetViews>
    <sheetView workbookViewId="0">
      <selection activeCell="A5" sqref="A5"/>
    </sheetView>
  </sheetViews>
  <sheetFormatPr defaultRowHeight="15"/>
  <sheetData>
    <row r="1" spans="1:1">
      <c r="A1">
        <v>30</v>
      </c>
    </row>
    <row r="2" spans="1:1">
      <c r="A2">
        <f>A1/3</f>
        <v>10</v>
      </c>
    </row>
    <row r="3" spans="1:1">
      <c r="A3">
        <f>50+A2</f>
        <v>60</v>
      </c>
    </row>
    <row r="4" spans="1:1">
      <c r="A4">
        <f>A3+10</f>
        <v>70</v>
      </c>
    </row>
    <row r="5" spans="1:1">
      <c r="A5">
        <f>A4+10</f>
        <v>80</v>
      </c>
    </row>
  </sheetData>
  <sheetProtection password="CC18" sheet="1" objects="1" scenarios="1"/>
  <pageMargins left="0.7" right="0.7" top="0.75" bottom="0.75" header="0.3" footer="0.3"/>
</worksheet>
</file>

<file path=customXml/_rels/item1.xml.rels><?xml version="1.0" encoding="UTF-8"?>

<Relationships xmlns="http://schemas.openxmlformats.org/package/2006/relationships">
  <Relationship Id="rId1" Type="http://schemas.openxmlformats.org/officeDocument/2006/relationships/customXmlProps" Target="itemProps1.xml"/>
</Relationships>

</file>

<file path=customXml/_rels/item2.xml.rels><?xml version="1.0" encoding="UTF-8"?>

<Relationships xmlns="http://schemas.openxmlformats.org/package/2006/relationships">
  <Relationship Id="rId1" Type="http://schemas.openxmlformats.org/officeDocument/2006/relationships/customXmlProps" Target="itemProps2.xml"/>
</Relationships>

</file>

<file path=customXml/_rels/item3.xml.rels><?xml version="1.0" encoding="UTF-8"?>

<Relationships xmlns="http://schemas.openxmlformats.org/package/2006/relationships">
  <Relationship Id="rId1" Type="http://schemas.openxmlformats.org/officeDocument/2006/relationships/customXmlProps" Target="itemProps3.xml"/>
</Relationships>

</file>

<file path=customXml/_rels/item4.xml.rels><?xml version="1.0" encoding="UTF-8"?>

<Relationships xmlns="http://schemas.openxmlformats.org/package/2006/relationships">
  <Relationship Id="rId1" Type="http://schemas.openxmlformats.org/officeDocument/2006/relationships/customXmlProps" Target="itemProps4.xml"/>
</Relationships>

</file>

<file path=customXml/item1.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DESE-231-1762</_dlc_DocId>
    <_dlc_DocIdUrl xmlns="733efe1c-5bbe-4968-87dc-d400e65c879f">
      <Url>https://sharepoint.doemass.org/ese/webteam/cps/_layouts/DocIdRedir.aspx?ID=DESE-231-1762</Url>
      <Description>DESE-231-1762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6" ma:contentTypeDescription="Create a new document." ma:contentTypeScope="" ma:versionID="4c477b597e7c222eca25c8df3a89c345">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895ef87827c111c756b1dee6e4b4097d"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8D12DD0-FEBC-4591-922C-BB343176F5BF}">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2.xml><?xml version="1.0" encoding="utf-8"?>
<ds:datastoreItem xmlns:ds="http://schemas.openxmlformats.org/officeDocument/2006/customXml" ds:itemID="{9F5E581A-CD27-468C-87A2-64EAC1C1AD48}">
  <ds:schemaRefs>
    <ds:schemaRef ds:uri="http://schemas.microsoft.com/sharepoint/events"/>
  </ds:schemaRefs>
</ds:datastoreItem>
</file>

<file path=customXml/itemProps3.xml><?xml version="1.0" encoding="utf-8"?>
<ds:datastoreItem xmlns:ds="http://schemas.openxmlformats.org/officeDocument/2006/customXml" ds:itemID="{2BE858A1-D3D5-443D-BF8E-C91AAEC84B12}">
  <ds:schemaRefs>
    <ds:schemaRef ds:uri="http://schemas.microsoft.com/sharepoint/v3/contenttype/forms"/>
  </ds:schemaRefs>
</ds:datastoreItem>
</file>

<file path=customXml/itemProps4.xml><?xml version="1.0" encoding="utf-8"?>
<ds:datastoreItem xmlns:ds="http://schemas.openxmlformats.org/officeDocument/2006/customXml" ds:itemID="{FC3DCBB2-4B3D-4207-B521-08D4B4D295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10</vt:i4>
      </vt:variant>
    </vt:vector>
  </HeadingPairs>
  <TitlesOfParts>
    <vt:vector size="16" baseType="lpstr">
      <vt:lpstr>Table of contents</vt:lpstr>
      <vt:lpstr>Student rates</vt:lpstr>
      <vt:lpstr>Student achievement</vt:lpstr>
      <vt:lpstr>College readiness</vt:lpstr>
      <vt:lpstr>Data</vt:lpstr>
      <vt:lpstr>Sheet2</vt:lpstr>
      <vt:lpstr>'College readiness'!Print_Area</vt:lpstr>
      <vt:lpstr>'Student achievement'!Print_Area</vt:lpstr>
      <vt:lpstr>'Student rates'!Print_Area</vt:lpstr>
      <vt:lpstr>'Table of contents'!Print_Area</vt:lpstr>
      <vt:lpstr>'College readiness'!Print_Titles</vt:lpstr>
      <vt:lpstr>'Student achievement'!Print_Titles</vt:lpstr>
      <vt:lpstr>'Student rates'!Print_Titles</vt:lpstr>
      <vt:lpstr>School_Code</vt:lpstr>
      <vt:lpstr>School_Data</vt:lpstr>
      <vt:lpstr>School_List</vt:lpstr>
    </vt:vector>
  </TitlesOfParts>
  <LinksUpToDate>false</LinksUpToDate>
  <SharedDoc>false</SharedDoc>
  <HyperlinksChanged>false</HyperlinksChanged>
  <AppVersion>12.0000</AppVersion>
</Properties>
</file>

<file path=docProps/core.xml><?xml version="1.0" encoding="utf-8"?>
<coreProperties xmlns="http://schemas.openxmlformats.org/package/2006/metadata/core-properties" xmlns:cp="http://schemas.openxmlformats.org/package/2006/metadata/core-properties" xmlns:dc="http://purl.org/dc/elements/1.1/" xmlns:dcterms="http://purl.org/dc/terms/" xmlns:xsi="http://www.w3.org/2001/XMLSchema-instance">
  <dcterms:created xsi:type="dcterms:W3CDTF">2012-01-19T15:02:49Z</dcterms:created>
  <dc:creator>ESE</dc:creator>
  <lastModifiedBy>dzou</lastModifiedBy>
  <lastPrinted>2014-03-06T23:13:44Z</lastPrinted>
  <dcterms:modified xsi:type="dcterms:W3CDTF">2014-03-07T15:39:44Z</dcterms:modified>
  <dc:title>Parker Level 5 MAGs</dc:title>
</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Mar 7 2014</vt:lpwstr>
  </property>
</Properties>
</file>