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dzou\Desktop\SCTASK0280729\"/>
    </mc:Choice>
  </mc:AlternateContent>
  <xr:revisionPtr revIDLastSave="0" documentId="13_ncr:1_{6DC1401F-9AE3-49BE-B908-573BE9CFCBCA}" xr6:coauthVersionLast="45" xr6:coauthVersionMax="47" xr10:uidLastSave="{00000000-0000-0000-0000-000000000000}"/>
  <bookViews>
    <workbookView xWindow="-120" yWindow="-120" windowWidth="29040" windowHeight="15840" xr2:uid="{2EBFF56D-3196-4727-999D-594F21C2194C}"/>
  </bookViews>
  <sheets>
    <sheet name="i sheet" sheetId="7" r:id="rId1"/>
    <sheet name="ffy22 Justix" sheetId="2" r:id="rId2"/>
    <sheet name="611 ffy2022-SFY23" sheetId="6" r:id="rId3"/>
    <sheet name="Sheet4" sheetId="5" r:id="rId4"/>
  </sheets>
  <externalReferences>
    <externalReference r:id="rId5"/>
    <externalReference r:id="rId6"/>
    <externalReference r:id="rId7"/>
  </externalReferences>
  <definedNames>
    <definedName name="admin" localSheetId="1">'[1]Admin Maximums'!$A$4:$T$61</definedName>
    <definedName name="admin">'[2]Admin Maximums'!$A$4:$T$61</definedName>
    <definedName name="admin_year" localSheetId="1">'[1]Admin Maximums'!$A$3:$T$3</definedName>
    <definedName name="admin_year">'[2]Admin Maximums'!$A$3:$T$3</definedName>
    <definedName name="fund_table" localSheetId="1">'[1]Prior Year Funding Levels'!$A$2:$V$62</definedName>
    <definedName name="fund_table">'[2]Prior Year Funding Levels'!$A$2:$AB$62</definedName>
    <definedName name="other" localSheetId="1">'[1]Other Activities Maxmiums'!$A$5:$AZ$61</definedName>
    <definedName name="other">'[2]Other Activities Maxmiums'!$A$5:$BZ$61</definedName>
    <definedName name="other_label" localSheetId="1">'[1]Other Activities Maxmiums'!$A$2:$AZ$2</definedName>
    <definedName name="other_label">'[2]Other Activities Maxmiums'!$A$2:$BZ$2</definedName>
    <definedName name="_xlnm.Print_Area" localSheetId="1">'ffy22 Justix'!$A$1:$F$48</definedName>
    <definedName name="_xlnm.Print_Titles" localSheetId="1">'ffy22 Justix'!$1:$1</definedName>
    <definedName name="year_row" localSheetId="1">'[1]Prior Year Funding Levels'!$A$1:$V$1</definedName>
    <definedName name="year_row">'[2]Prior Year Funding Levels'!$A$1:$AB$1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6" i="2" l="1"/>
  <c r="D45" i="2"/>
  <c r="B2" i="2"/>
  <c r="Z255" i="7"/>
  <c r="X252" i="7"/>
  <c r="Q207" i="7"/>
  <c r="J201" i="7"/>
  <c r="J202" i="7" s="1"/>
  <c r="H201" i="7"/>
  <c r="J194" i="7"/>
  <c r="J193" i="7"/>
  <c r="I193" i="7"/>
  <c r="I187" i="7"/>
  <c r="A183" i="7"/>
  <c r="H172" i="7"/>
  <c r="I172" i="7" s="1"/>
  <c r="H159" i="7"/>
  <c r="I159" i="7" s="1"/>
  <c r="H153" i="7"/>
  <c r="I153" i="7" s="1"/>
  <c r="I148" i="7"/>
  <c r="H148" i="7"/>
  <c r="H144" i="7"/>
  <c r="I144" i="7" s="1"/>
  <c r="H140" i="7"/>
  <c r="I140" i="7" s="1"/>
  <c r="H137" i="7"/>
  <c r="I137" i="7" s="1"/>
  <c r="H134" i="7"/>
  <c r="I134" i="7" s="1"/>
  <c r="H131" i="7"/>
  <c r="I131" i="7" s="1"/>
  <c r="H129" i="7"/>
  <c r="I129" i="7" s="1"/>
  <c r="H125" i="7"/>
  <c r="I125" i="7" s="1"/>
  <c r="J120" i="7"/>
  <c r="H120" i="7"/>
  <c r="I120" i="7" s="1"/>
  <c r="H116" i="7"/>
  <c r="J116" i="7" s="1"/>
  <c r="H113" i="7"/>
  <c r="I110" i="7"/>
  <c r="I97" i="7"/>
  <c r="B95" i="7"/>
  <c r="S278" i="7" s="1"/>
  <c r="J91" i="7"/>
  <c r="I58" i="7"/>
  <c r="H45" i="7"/>
  <c r="I45" i="7" s="1"/>
  <c r="H41" i="7"/>
  <c r="I41" i="7" s="1"/>
  <c r="H39" i="7"/>
  <c r="I39" i="7" s="1"/>
  <c r="H35" i="7"/>
  <c r="I35" i="7" s="1"/>
  <c r="I24" i="7"/>
  <c r="H21" i="7"/>
  <c r="I21" i="7" s="1"/>
  <c r="I11" i="7"/>
  <c r="Z215" i="7" s="1"/>
  <c r="I2" i="7"/>
  <c r="H2" i="7"/>
  <c r="H88" i="7" s="1"/>
  <c r="G2" i="7"/>
  <c r="H82" i="7" s="1"/>
  <c r="F2" i="7"/>
  <c r="H78" i="7" s="1"/>
  <c r="E2" i="7"/>
  <c r="H72" i="7" s="1"/>
  <c r="D2" i="7"/>
  <c r="I9" i="7" s="1"/>
  <c r="B2" i="7"/>
  <c r="I3" i="7" s="1"/>
  <c r="I5" i="7" s="1"/>
  <c r="C36" i="2"/>
  <c r="C29" i="2"/>
  <c r="C28" i="2"/>
  <c r="C26" i="2"/>
  <c r="C24" i="2"/>
  <c r="C15" i="2"/>
  <c r="C14" i="2"/>
  <c r="C13" i="2"/>
  <c r="C12" i="2"/>
  <c r="C9" i="2"/>
  <c r="I12" i="7" l="1"/>
  <c r="H118" i="7"/>
  <c r="H122" i="7" s="1"/>
  <c r="H127" i="7" s="1"/>
  <c r="H130" i="7" s="1"/>
  <c r="H133" i="7" s="1"/>
  <c r="H136" i="7" s="1"/>
  <c r="H139" i="7" s="1"/>
  <c r="H142" i="7" s="1"/>
  <c r="H146" i="7" s="1"/>
  <c r="H151" i="7" s="1"/>
  <c r="H156" i="7" s="1"/>
  <c r="H165" i="7" s="1"/>
  <c r="H174" i="7" s="1"/>
  <c r="J146" i="7" s="1"/>
  <c r="B32" i="7"/>
  <c r="U230" i="7" s="1"/>
  <c r="I96" i="7"/>
  <c r="H13" i="7"/>
  <c r="Z216" i="7"/>
  <c r="X227" i="7" s="1"/>
  <c r="J11" i="7"/>
  <c r="K165" i="7"/>
  <c r="K130" i="7"/>
  <c r="K118" i="7"/>
  <c r="J165" i="7"/>
  <c r="K139" i="7"/>
  <c r="K133" i="7"/>
  <c r="J122" i="7"/>
  <c r="K156" i="7"/>
  <c r="K127" i="7"/>
  <c r="J139" i="7"/>
  <c r="K122" i="7"/>
  <c r="I176" i="7"/>
  <c r="K142" i="7"/>
  <c r="J133" i="7"/>
  <c r="J142" i="7"/>
  <c r="J156" i="7"/>
  <c r="K136" i="7"/>
  <c r="J127" i="7"/>
  <c r="K113" i="7"/>
  <c r="J130" i="7"/>
  <c r="K146" i="7"/>
  <c r="J136" i="7"/>
  <c r="J113" i="7"/>
  <c r="J118" i="7"/>
  <c r="K151" i="7"/>
  <c r="H96" i="7"/>
  <c r="H47" i="7"/>
  <c r="U209" i="7"/>
  <c r="Z271" i="7"/>
  <c r="J47" i="7"/>
  <c r="J48" i="7" s="1"/>
  <c r="S272" i="7"/>
  <c r="S267" i="7"/>
  <c r="V272" i="7"/>
  <c r="I116" i="7"/>
  <c r="S268" i="7"/>
  <c r="S273" i="7"/>
  <c r="I99" i="7"/>
  <c r="J99" i="7" s="1"/>
  <c r="A110" i="7"/>
  <c r="J110" i="7"/>
  <c r="V227" i="7"/>
  <c r="S269" i="7"/>
  <c r="S275" i="7"/>
  <c r="S276" i="7"/>
  <c r="D111" i="7"/>
  <c r="U269" i="7"/>
  <c r="E111" i="7"/>
  <c r="S270" i="7"/>
  <c r="S277" i="7"/>
  <c r="S271" i="7"/>
  <c r="J151" i="7" l="1"/>
  <c r="J180" i="7"/>
  <c r="J176" i="7"/>
  <c r="J178" i="7" s="1"/>
  <c r="Z257" i="7"/>
  <c r="J98" i="7"/>
  <c r="J102" i="7"/>
  <c r="J100" i="7"/>
  <c r="J104" i="7"/>
  <c r="K101" i="7"/>
  <c r="J103" i="7"/>
  <c r="J101" i="7"/>
  <c r="I62" i="7"/>
  <c r="Y225" i="7"/>
  <c r="J66" i="7" l="1"/>
  <c r="J64" i="7"/>
  <c r="J62" i="7"/>
  <c r="C27" i="2" l="1"/>
  <c r="C33" i="2" l="1"/>
  <c r="C32" i="2"/>
  <c r="C43" i="2" l="1"/>
  <c r="B36" i="2"/>
  <c r="B35" i="2"/>
  <c r="B34" i="2"/>
  <c r="B33" i="2"/>
  <c r="B32" i="2"/>
  <c r="B31" i="2"/>
  <c r="B30" i="2"/>
  <c r="B29" i="2"/>
  <c r="B28" i="2"/>
  <c r="B27" i="2"/>
  <c r="B26" i="2"/>
  <c r="B25" i="2"/>
  <c r="B24" i="2"/>
  <c r="B22" i="2"/>
  <c r="D43" i="2" s="1"/>
  <c r="B15" i="2"/>
  <c r="B14" i="2"/>
  <c r="B13" i="2"/>
  <c r="B12" i="2"/>
  <c r="B9" i="2"/>
  <c r="B16" i="2" l="1"/>
  <c r="C10" i="2"/>
  <c r="B10" i="2" s="1"/>
  <c r="B43" i="2"/>
  <c r="D44" i="2"/>
  <c r="C46" i="2" s="1"/>
  <c r="B37" i="2"/>
  <c r="B1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E7C964C1-EEAD-4ED9-BA41-B41A8DB633F4}">
      <text>
        <r>
          <rPr>
            <b/>
            <sz val="8"/>
            <color indexed="81"/>
            <rFont val="Tahoma"/>
            <family val="2"/>
          </rPr>
          <t xml:space="preserve">See 20 U.S.C. 1411(e)(1)(A) and 1411(e)(3)(B)(i)
</t>
        </r>
      </text>
    </comment>
    <comment ref="B23" authorId="0" shapeId="0" xr:uid="{78706D67-6E5C-41EB-8FE5-500F3B5A07F2}">
      <text>
        <r>
          <rPr>
            <b/>
            <sz val="8"/>
            <color indexed="81"/>
            <rFont val="Tahoma"/>
            <family val="2"/>
          </rPr>
          <t xml:space="preserve">See 20 U.S.C. 1411(e)(1)(D)
</t>
        </r>
      </text>
    </comment>
    <comment ref="B27" authorId="0" shapeId="0" xr:uid="{9CEF6A5F-7A1E-455F-A462-6F338A8662E1}">
      <text>
        <r>
          <rPr>
            <b/>
            <sz val="8"/>
            <color indexed="81"/>
            <rFont val="Tahoma"/>
            <family val="2"/>
          </rPr>
          <t>See 20 U.S.C. 1411(e)(6) and 1411(e)(1)(B)</t>
        </r>
        <r>
          <rPr>
            <sz val="8"/>
            <color indexed="81"/>
            <rFont val="Tahoma"/>
            <family val="2"/>
          </rPr>
          <t xml:space="preserve">
</t>
        </r>
      </text>
    </comment>
    <comment ref="C34" authorId="0" shapeId="0" xr:uid="{76BF3FB0-253D-45EA-99C3-64BFE9A5D329}">
      <text>
        <r>
          <rPr>
            <b/>
            <sz val="8"/>
            <color indexed="81"/>
            <rFont val="Tahoma"/>
            <family val="2"/>
          </rPr>
          <t>See 20 U.S.C. 1411(e)(2)(C)(i)</t>
        </r>
        <r>
          <rPr>
            <sz val="8"/>
            <color indexed="81"/>
            <rFont val="Tahoma"/>
            <family val="2"/>
          </rPr>
          <t xml:space="preserve">
</t>
        </r>
      </text>
    </comment>
    <comment ref="C37" authorId="0" shapeId="0" xr:uid="{85E9937D-DD99-4A2C-9A69-5A56AE1D09D8}">
      <text>
        <r>
          <rPr>
            <b/>
            <sz val="8"/>
            <color indexed="81"/>
            <rFont val="Tahoma"/>
            <family val="2"/>
          </rPr>
          <t>See 20 U.S.C. 1411(e)(2)(C)(iii)</t>
        </r>
        <r>
          <rPr>
            <sz val="8"/>
            <color indexed="81"/>
            <rFont val="Tahoma"/>
            <family val="2"/>
          </rPr>
          <t xml:space="preserve">
</t>
        </r>
      </text>
    </comment>
    <comment ref="C41" authorId="0" shapeId="0" xr:uid="{B7DCBAE8-84AF-4E0D-A90F-DFC843238A1C}">
      <text>
        <r>
          <rPr>
            <b/>
            <sz val="8"/>
            <color indexed="81"/>
            <rFont val="Tahoma"/>
            <family val="2"/>
          </rPr>
          <t>See 20 U.S.C. 1411(e)(2)(C)(vii)</t>
        </r>
        <r>
          <rPr>
            <sz val="8"/>
            <color indexed="81"/>
            <rFont val="Tahoma"/>
            <family val="2"/>
          </rPr>
          <t xml:space="preserve">
</t>
        </r>
      </text>
    </comment>
    <comment ref="C43" authorId="0" shapeId="0" xr:uid="{2AE5BC47-0F7C-4967-8CDF-25E52F629E68}">
      <text>
        <r>
          <rPr>
            <b/>
            <sz val="8"/>
            <color indexed="81"/>
            <rFont val="Tahoma"/>
            <family val="2"/>
          </rPr>
          <t>See 20 U.S.C. 1411(e)(2)(C)(viii)</t>
        </r>
        <r>
          <rPr>
            <sz val="8"/>
            <color indexed="81"/>
            <rFont val="Tahoma"/>
            <family val="2"/>
          </rPr>
          <t xml:space="preserve">
</t>
        </r>
      </text>
    </comment>
    <comment ref="B50" authorId="0" shapeId="0" xr:uid="{90155D11-D26D-42CE-BAD6-A9F58EA5067A}">
      <text>
        <r>
          <rPr>
            <b/>
            <sz val="8"/>
            <color indexed="81"/>
            <rFont val="Tahoma"/>
            <family val="2"/>
          </rPr>
          <t xml:space="preserve">See 20 U.S.C. 1411(e)(7)
</t>
        </r>
      </text>
    </comment>
    <comment ref="A70" authorId="0" shapeId="0" xr:uid="{993A8C9B-EA5C-4FF3-AD49-BD65CC382259}">
      <text>
        <r>
          <rPr>
            <b/>
            <sz val="8"/>
            <color indexed="81"/>
            <rFont val="Tahoma"/>
            <family val="2"/>
          </rPr>
          <t>See 20 U.S.C. 1411(e)(2)(A)(i)</t>
        </r>
        <r>
          <rPr>
            <sz val="8"/>
            <color indexed="81"/>
            <rFont val="Tahoma"/>
            <family val="2"/>
          </rPr>
          <t xml:space="preserve">
</t>
        </r>
      </text>
    </comment>
    <comment ref="A76" authorId="0" shapeId="0" xr:uid="{5A3C19FD-9D9F-4463-B022-2831A9A0A282}">
      <text>
        <r>
          <rPr>
            <b/>
            <sz val="8"/>
            <color indexed="81"/>
            <rFont val="Tahoma"/>
            <family val="2"/>
          </rPr>
          <t>See 20 U.S.C. 1411(e)(2)(A)(i) and 20 U.S.C. 1411(e)(2)(A)(iii)(I)</t>
        </r>
        <r>
          <rPr>
            <sz val="8"/>
            <color indexed="81"/>
            <rFont val="Tahoma"/>
            <family val="2"/>
          </rPr>
          <t xml:space="preserve">
</t>
        </r>
      </text>
    </comment>
    <comment ref="A80" authorId="0" shapeId="0" xr:uid="{699C95F5-370C-4844-A848-CF046049747B}">
      <text>
        <r>
          <rPr>
            <b/>
            <sz val="8"/>
            <color indexed="81"/>
            <rFont val="Tahoma"/>
            <family val="2"/>
          </rPr>
          <t>See 20 U.S.C. 1411(e)(2)(A)(ii)</t>
        </r>
        <r>
          <rPr>
            <sz val="8"/>
            <color indexed="81"/>
            <rFont val="Tahoma"/>
            <family val="2"/>
          </rPr>
          <t xml:space="preserve">
</t>
        </r>
      </text>
    </comment>
    <comment ref="A86" authorId="0" shapeId="0" xr:uid="{45BF1147-6218-4B5C-A713-BE4DE02D5E7F}">
      <text>
        <r>
          <rPr>
            <b/>
            <sz val="8"/>
            <color indexed="81"/>
            <rFont val="Tahoma"/>
            <family val="2"/>
          </rPr>
          <t>See 20 U.S.C. 1411(e)(2)(A)(ii) and 20 U.S.C. 1411(e)(2)(A)(iii)(II)</t>
        </r>
        <r>
          <rPr>
            <sz val="8"/>
            <color indexed="81"/>
            <rFont val="Tahoma"/>
            <family val="2"/>
          </rPr>
          <t xml:space="preserve">
</t>
        </r>
      </text>
    </comment>
    <comment ref="A91" authorId="0" shapeId="0" xr:uid="{97A57F11-89A9-472F-9E88-D1F21FDDD1A2}">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1BF0AB3F-A217-4AD3-8E3B-0FDA65BCED0D}">
      <text>
        <r>
          <rPr>
            <b/>
            <sz val="8"/>
            <color indexed="81"/>
            <rFont val="Tahoma"/>
            <family val="2"/>
          </rPr>
          <t>See 20 U.S.C. 1411(e)(2)(B)(i)</t>
        </r>
        <r>
          <rPr>
            <sz val="8"/>
            <color indexed="81"/>
            <rFont val="Tahoma"/>
            <family val="2"/>
          </rPr>
          <t xml:space="preserve">
</t>
        </r>
      </text>
    </comment>
    <comment ref="C118" authorId="0" shapeId="0" xr:uid="{F05386D8-C7EE-4575-A5D4-9BA69F03F9C3}">
      <text>
        <r>
          <rPr>
            <b/>
            <sz val="8"/>
            <color indexed="81"/>
            <rFont val="Tahoma"/>
            <family val="2"/>
          </rPr>
          <t>See 20 U.S.C. 1411(e)(2)(B)(ii)</t>
        </r>
        <r>
          <rPr>
            <sz val="8"/>
            <color indexed="81"/>
            <rFont val="Tahoma"/>
            <family val="2"/>
          </rPr>
          <t xml:space="preserve">
</t>
        </r>
      </text>
    </comment>
    <comment ref="C124" authorId="0" shapeId="0" xr:uid="{4FBAFC54-7BD9-4731-AE1E-DA49E6569FBE}">
      <text>
        <r>
          <rPr>
            <b/>
            <sz val="8"/>
            <color indexed="81"/>
            <rFont val="Tahoma"/>
            <family val="2"/>
          </rPr>
          <t>See 20 U.S.C. 1411(e)(2)(C)(i)</t>
        </r>
        <r>
          <rPr>
            <sz val="8"/>
            <color indexed="81"/>
            <rFont val="Tahoma"/>
            <family val="2"/>
          </rPr>
          <t xml:space="preserve">
</t>
        </r>
      </text>
    </comment>
    <comment ref="C127" authorId="0" shapeId="0" xr:uid="{0CEBB45B-421E-46AF-B2A2-B8307A10DBB2}">
      <text>
        <r>
          <rPr>
            <b/>
            <sz val="8"/>
            <color indexed="81"/>
            <rFont val="Tahoma"/>
            <family val="2"/>
          </rPr>
          <t>See 20 U.S.C. 1411(e)(2)(C)(iii)</t>
        </r>
        <r>
          <rPr>
            <sz val="8"/>
            <color indexed="81"/>
            <rFont val="Tahoma"/>
            <family val="2"/>
          </rPr>
          <t xml:space="preserve">
</t>
        </r>
      </text>
    </comment>
    <comment ref="C131" authorId="0" shapeId="0" xr:uid="{67360E90-F437-476B-AA12-5831912C4942}">
      <text>
        <r>
          <rPr>
            <b/>
            <sz val="8"/>
            <color indexed="81"/>
            <rFont val="Tahoma"/>
            <family val="2"/>
          </rPr>
          <t>See 20 U.S.C. 1411(e)(2)(C)(vii)</t>
        </r>
        <r>
          <rPr>
            <sz val="8"/>
            <color indexed="81"/>
            <rFont val="Tahoma"/>
            <family val="2"/>
          </rPr>
          <t xml:space="preserve">
</t>
        </r>
      </text>
    </comment>
    <comment ref="C133" authorId="0" shapeId="0" xr:uid="{585C59F7-67FE-4009-8CF7-856DCB1AB78B}">
      <text>
        <r>
          <rPr>
            <b/>
            <sz val="8"/>
            <color indexed="81"/>
            <rFont val="Tahoma"/>
            <family val="2"/>
          </rPr>
          <t>See 20 U.S.C. 1411(e)(2)(C)(viii)</t>
        </r>
        <r>
          <rPr>
            <sz val="8"/>
            <color indexed="81"/>
            <rFont val="Tahoma"/>
            <family val="2"/>
          </rPr>
          <t xml:space="preserve">
</t>
        </r>
      </text>
    </comment>
    <comment ref="C136" authorId="0" shapeId="0" xr:uid="{CFC36706-D4D6-444B-BE13-EC6854B2801C}">
      <text>
        <r>
          <rPr>
            <b/>
            <sz val="8"/>
            <color indexed="81"/>
            <rFont val="Tahoma"/>
            <family val="2"/>
          </rPr>
          <t>See 20 U.S.C. 1411(e)(2)(C)(ii)</t>
        </r>
        <r>
          <rPr>
            <sz val="8"/>
            <color indexed="81"/>
            <rFont val="Tahoma"/>
            <family val="2"/>
          </rPr>
          <t xml:space="preserve">
</t>
        </r>
      </text>
    </comment>
    <comment ref="C139" authorId="0" shapeId="0" xr:uid="{513B2E58-A882-4436-8649-1F51BAD01B36}">
      <text>
        <r>
          <rPr>
            <b/>
            <sz val="8"/>
            <color indexed="81"/>
            <rFont val="Tahoma"/>
            <family val="2"/>
          </rPr>
          <t>See 20 U.S.C. 1411(e)(2)(C)(iv)</t>
        </r>
        <r>
          <rPr>
            <sz val="8"/>
            <color indexed="81"/>
            <rFont val="Tahoma"/>
            <family val="2"/>
          </rPr>
          <t xml:space="preserve">
</t>
        </r>
      </text>
    </comment>
    <comment ref="C142" authorId="0" shapeId="0" xr:uid="{E5B6C0EB-8BB3-48E4-867C-F4FC0C2D5C03}">
      <text>
        <r>
          <rPr>
            <b/>
            <sz val="8"/>
            <color indexed="81"/>
            <rFont val="Tahoma"/>
            <family val="2"/>
          </rPr>
          <t>See 20 U.S.C. 1411(e)(2)(C)(v)</t>
        </r>
        <r>
          <rPr>
            <sz val="8"/>
            <color indexed="81"/>
            <rFont val="Tahoma"/>
            <family val="2"/>
          </rPr>
          <t xml:space="preserve">
</t>
        </r>
      </text>
    </comment>
    <comment ref="C146" authorId="0" shapeId="0" xr:uid="{2774FA46-D553-4A93-97D5-0EE8BAEF0520}">
      <text>
        <r>
          <rPr>
            <b/>
            <sz val="8"/>
            <color indexed="81"/>
            <rFont val="Tahoma"/>
            <family val="2"/>
          </rPr>
          <t>See 20 U.S.C. 1411(e)(2)(C)(vi)</t>
        </r>
        <r>
          <rPr>
            <sz val="8"/>
            <color indexed="81"/>
            <rFont val="Tahoma"/>
            <family val="2"/>
          </rPr>
          <t xml:space="preserve">
</t>
        </r>
      </text>
    </comment>
    <comment ref="C150" authorId="0" shapeId="0" xr:uid="{3647289A-7341-4D15-84BE-534B5B4EDB90}">
      <text>
        <r>
          <rPr>
            <b/>
            <sz val="8"/>
            <color indexed="81"/>
            <rFont val="Tahoma"/>
            <family val="2"/>
          </rPr>
          <t>See 20 U.S.C. 1411(e)(2)(C)(ix)</t>
        </r>
        <r>
          <rPr>
            <sz val="8"/>
            <color indexed="81"/>
            <rFont val="Tahoma"/>
            <family val="2"/>
          </rPr>
          <t xml:space="preserve">
</t>
        </r>
      </text>
    </comment>
    <comment ref="C155" authorId="0" shapeId="0" xr:uid="{5CEB97B0-E23F-4EFA-8E49-2C428D1CEED8}">
      <text>
        <r>
          <rPr>
            <b/>
            <sz val="8"/>
            <color indexed="81"/>
            <rFont val="Tahoma"/>
            <family val="2"/>
          </rPr>
          <t>See 20 U.S.C. 1411(e)(2)(C)(x)</t>
        </r>
        <r>
          <rPr>
            <sz val="8"/>
            <color indexed="81"/>
            <rFont val="Tahoma"/>
            <family val="2"/>
          </rPr>
          <t xml:space="preserve">
</t>
        </r>
      </text>
    </comment>
    <comment ref="C161" authorId="0" shapeId="0" xr:uid="{485FA552-5CD0-4AAF-85CF-104FE292C2FE}">
      <text>
        <r>
          <rPr>
            <b/>
            <sz val="8"/>
            <color indexed="81"/>
            <rFont val="Tahoma"/>
            <family val="2"/>
          </rPr>
          <t>See 20 U.S.C. 1411(e)(2)(C)(xi)</t>
        </r>
        <r>
          <rPr>
            <sz val="8"/>
            <color indexed="81"/>
            <rFont val="Tahoma"/>
            <family val="2"/>
          </rPr>
          <t xml:space="preserve">
</t>
        </r>
      </text>
    </comment>
    <comment ref="C185" authorId="0" shapeId="0" xr:uid="{BC1619C0-12DB-4259-A9B5-E9AC5D95B924}">
      <text>
        <r>
          <rPr>
            <b/>
            <sz val="8"/>
            <color indexed="81"/>
            <rFont val="Tahoma"/>
            <family val="2"/>
          </rPr>
          <t>See 20 U.S.C. 1411(e)(3)(A)(i)(I)</t>
        </r>
        <r>
          <rPr>
            <sz val="8"/>
            <color indexed="81"/>
            <rFont val="Tahoma"/>
            <family val="2"/>
          </rPr>
          <t xml:space="preserve">
</t>
        </r>
      </text>
    </comment>
    <comment ref="C189" authorId="0" shapeId="0" xr:uid="{10A853AF-B560-427B-B41D-A6C2FEFADBA6}">
      <text>
        <r>
          <rPr>
            <b/>
            <sz val="8"/>
            <color indexed="81"/>
            <rFont val="Tahoma"/>
            <family val="2"/>
          </rPr>
          <t>See 20 U.S.C. 1411(e)(3)(A)(i)(II) and 20 U.S.C. 1411(e)(3)(B)(ii)</t>
        </r>
        <r>
          <rPr>
            <sz val="8"/>
            <color indexed="81"/>
            <rFont val="Tahoma"/>
            <family val="2"/>
          </rPr>
          <t xml:space="preserve">
</t>
        </r>
      </text>
    </comment>
    <comment ref="C196" authorId="0" shapeId="0" xr:uid="{08EFC057-287C-464D-901E-76F741BED632}">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<sst xmlns="http://schemas.openxmlformats.org/spreadsheetml/2006/main" count="405" uniqueCount="282">
  <si>
    <t>Massachusetts</t>
  </si>
  <si>
    <t>FFY</t>
  </si>
  <si>
    <t xml:space="preserve"> </t>
  </si>
  <si>
    <t>Select Area</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</si>
  <si>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</si>
  <si>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</si>
  <si>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</si>
  <si>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</si>
  <si>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</si>
  <si>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</si>
  <si>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</si>
  <si>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</si>
  <si>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</si>
  <si>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</si>
  <si>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</si>
  <si>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</si>
  <si>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</si>
  <si>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</si>
  <si>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</si>
  <si>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</si>
  <si>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</si>
  <si>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</si>
  <si>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</si>
  <si>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</si>
  <si>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</si>
  <si>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</si>
  <si>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</si>
  <si>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</si>
  <si>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</si>
  <si>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</si>
  <si>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</si>
  <si>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</si>
  <si>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</si>
  <si>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</si>
  <si>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</si>
  <si>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</si>
  <si>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</si>
  <si>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</si>
  <si>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</si>
  <si>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</si>
  <si>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</si>
  <si>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</si>
  <si>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</si>
  <si>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</si>
  <si>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</si>
  <si>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</si>
  <si>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</si>
  <si>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</si>
  <si>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</si>
  <si>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</si>
  <si>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</si>
  <si>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</si>
  <si>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</si>
  <si>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</si>
  <si>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</si>
  <si>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</si>
  <si>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</si>
  <si>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</si>
  <si>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</si>
  <si>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</si>
  <si>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</si>
  <si>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</si>
  <si>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</si>
  <si>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</si>
  <si>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</si>
  <si>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</si>
  <si>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</si>
  <si>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</si>
  <si>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</si>
  <si>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</si>
  <si>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</si>
  <si>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</si>
  <si>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</si>
  <si>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</si>
  <si>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</si>
  <si>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</si>
  <si>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</si>
  <si>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</si>
  <si>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</si>
  <si>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</si>
  <si>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</si>
  <si>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</si>
  <si>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</si>
  <si>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</si>
  <si>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</si>
  <si>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</si>
  <si>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</si>
  <si>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</si>
  <si>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</si>
  <si>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</si>
  <si>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</si>
  <si>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</si>
  <si>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</si>
  <si>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</si>
  <si>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No</t>
  </si>
  <si>
    <t>Yes</t>
  </si>
  <si>
    <t>Based on the amount that you intend to set aside for</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</si>
  <si>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</si>
  <si>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</si>
  <si>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</si>
  <si>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</si>
  <si>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</si>
  <si>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</si>
  <si>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</si>
  <si>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</si>
  <si>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</si>
  <si>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</si>
  <si>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</si>
  <si>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</si>
  <si>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</si>
  <si>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</si>
  <si>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</si>
  <si>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</si>
  <si>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</si>
  <si>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</si>
  <si>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</si>
  <si>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</si>
  <si>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</si>
  <si>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</si>
  <si>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</si>
  <si>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</si>
  <si>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</si>
  <si>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</si>
  <si>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</si>
  <si>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</si>
  <si>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</si>
  <si>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</si>
  <si>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</si>
  <si>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</si>
  <si>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</si>
  <si>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</si>
  <si>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</si>
  <si>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</si>
  <si>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</si>
  <si>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</si>
  <si>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</si>
  <si>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</si>
  <si>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</si>
  <si>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</si>
  <si>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</si>
  <si>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</si>
  <si>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</si>
  <si>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</si>
  <si>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</si>
  <si>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</si>
  <si>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</si>
  <si>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</si>
  <si>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</si>
  <si>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</si>
  <si>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</si>
  <si>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</si>
  <si>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</si>
  <si>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</si>
  <si>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</si>
  <si>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</si>
  <si>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</si>
  <si>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</si>
  <si>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</si>
  <si>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</si>
  <si>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</si>
  <si>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</si>
  <si>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</si>
  <si>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</si>
  <si>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</si>
  <si>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</si>
  <si>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</si>
  <si>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</si>
  <si>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</si>
  <si>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</si>
  <si>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</si>
  <si>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</si>
  <si>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</si>
  <si>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</si>
  <si>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</si>
  <si>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</si>
  <si>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</si>
  <si>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</si>
  <si>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</si>
  <si>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</si>
  <si>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</si>
  <si>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</si>
  <si>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</si>
  <si>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</si>
  <si>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</si>
  <si>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</si>
  <si>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</si>
  <si>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</si>
  <si>
    <t xml:space="preserve">Questions or fields on Interactive Sheet </t>
  </si>
  <si>
    <t>Total Amount on Interactive Spreadsheet</t>
  </si>
  <si>
    <t>Math Amount of Indiv Items from our IDEA budget proposal</t>
  </si>
  <si>
    <t>Explanation of Projects</t>
  </si>
  <si>
    <t xml:space="preserve">Starting Award FFY21 Amount:  </t>
  </si>
  <si>
    <t>Admin</t>
  </si>
  <si>
    <t>Field A</t>
  </si>
  <si>
    <t>SFY22 admin less than the payroll of specialized work</t>
  </si>
  <si>
    <t>B:  Part C</t>
  </si>
  <si>
    <r>
      <t xml:space="preserve"> we don't have </t>
    </r>
    <r>
      <rPr>
        <b/>
        <sz val="11"/>
        <color theme="1"/>
        <rFont val="Calibri"/>
        <family val="2"/>
        <scheme val="minor"/>
      </rPr>
      <t>Part C</t>
    </r>
  </si>
  <si>
    <r>
      <t xml:space="preserve">C: salary of indiv doing the work </t>
    </r>
    <r>
      <rPr>
        <i/>
        <sz val="11"/>
        <color rgb="FF00B050"/>
        <rFont val="Calibri"/>
        <family val="2"/>
        <scheme val="minor"/>
      </rPr>
      <t>(For support and direct services, including technical assistance, personnel preparation, and professional development and training.)</t>
    </r>
  </si>
  <si>
    <t>D:  salary of indiv doing the work-To assist local educational agencies in providing positive behavioral interventions and supports and appropriate mental health services for children with disabilities.</t>
  </si>
  <si>
    <t>E:  salary of indiv doing the work-To assist local educational agencies in meeting personnel shortages.</t>
  </si>
  <si>
    <r>
      <t xml:space="preserve">F:  salary of indiv doing the work </t>
    </r>
    <r>
      <rPr>
        <i/>
        <sz val="11"/>
        <color rgb="FF00B050"/>
        <rFont val="Calibri"/>
        <family val="2"/>
        <scheme val="minor"/>
      </rPr>
      <t>(To support capacity building activities and improve the delivery of services by local educational agencies to improve results for children with disabilities.)</t>
    </r>
  </si>
  <si>
    <t>Sub total of C thru F</t>
  </si>
  <si>
    <t>G:  Preschool Part C</t>
  </si>
  <si>
    <t>Mass DOES NOT have this</t>
  </si>
  <si>
    <t xml:space="preserve">Total of details of admin set aside is </t>
  </si>
  <si>
    <t xml:space="preserve"> Question:  Do you wish to use fds for a High Cost Fund:  (Y or N)</t>
  </si>
  <si>
    <t xml:space="preserve"> Question:  Max that you may use for Other State-Level Activities is</t>
  </si>
  <si>
    <t xml:space="preserve"> Question:  How much do you want to set aside for Other State Level Activities?</t>
  </si>
  <si>
    <t>Max set aside</t>
  </si>
  <si>
    <r>
      <rPr>
        <b/>
        <u/>
        <sz val="11"/>
        <color rgb="FF00B050"/>
        <rFont val="Calibri"/>
        <family val="2"/>
        <scheme val="minor"/>
      </rPr>
      <t xml:space="preserve">H:  </t>
    </r>
    <r>
      <rPr>
        <b/>
        <sz val="11"/>
        <color rgb="FF00B050"/>
        <rFont val="Calibri"/>
        <family val="2"/>
        <scheme val="minor"/>
      </rPr>
      <t>Req Activ - Monitoring, enforcemt, complaint invest.</t>
    </r>
  </si>
  <si>
    <t xml:space="preserve">All 3 PQAs budget </t>
  </si>
  <si>
    <r>
      <rPr>
        <b/>
        <u/>
        <sz val="11"/>
        <color rgb="FF00B050"/>
        <rFont val="Calibri"/>
        <family val="2"/>
        <scheme val="minor"/>
      </rPr>
      <t>I:</t>
    </r>
    <r>
      <rPr>
        <b/>
        <sz val="11"/>
        <color rgb="FF00B050"/>
        <rFont val="Calibri"/>
        <family val="2"/>
        <scheme val="minor"/>
      </rPr>
      <t xml:space="preserve">  Req Activ  - mediation support</t>
    </r>
  </si>
  <si>
    <t xml:space="preserve"> BSEA to service disputes/mediation</t>
  </si>
  <si>
    <r>
      <t xml:space="preserve">Opt. Auth Activ: </t>
    </r>
    <r>
      <rPr>
        <b/>
        <u/>
        <sz val="11"/>
        <color theme="4" tint="-0.249977111117893"/>
        <rFont val="Calibri"/>
        <family val="2"/>
        <scheme val="minor"/>
      </rPr>
      <t xml:space="preserve"> J</t>
    </r>
    <r>
      <rPr>
        <b/>
        <sz val="11"/>
        <color theme="4" tint="-0.249977111117893"/>
        <rFont val="Calibri"/>
        <family val="2"/>
        <scheme val="minor"/>
      </rPr>
      <t>:  Support &amp; direct Svcs, TA, personnel preparation, &amp; prof Dev &amp; trng</t>
    </r>
  </si>
  <si>
    <r>
      <t xml:space="preserve"> </t>
    </r>
    <r>
      <rPr>
        <b/>
        <sz val="11"/>
        <color theme="1"/>
        <rFont val="Calibri"/>
        <family val="2"/>
        <scheme val="minor"/>
      </rPr>
      <t>Support &amp; Direct Svcs AND TA, personnel preparation, &amp; professional dev &amp; training-------&gt;</t>
    </r>
    <r>
      <rPr>
        <sz val="11"/>
        <color theme="1"/>
        <rFont val="Calibri"/>
        <family val="2"/>
        <scheme val="minor"/>
      </rPr>
      <t xml:space="preserve">                                         </t>
    </r>
  </si>
  <si>
    <t>Opt. Auth Activ:  behav interv &amp; supports &amp; approp mental health svcs</t>
  </si>
  <si>
    <t xml:space="preserve"> PBIS of MTSS work w/ indirect</t>
  </si>
  <si>
    <r>
      <t xml:space="preserve">Opt. Auth Activ: </t>
    </r>
    <r>
      <rPr>
        <b/>
        <u/>
        <sz val="11"/>
        <color theme="4" tint="-0.249977111117893"/>
        <rFont val="Calibri"/>
        <family val="2"/>
        <scheme val="minor"/>
      </rPr>
      <t xml:space="preserve"> L</t>
    </r>
    <r>
      <rPr>
        <b/>
        <sz val="11"/>
        <color theme="4" tint="-0.249977111117893"/>
        <rFont val="Calibri"/>
        <family val="2"/>
        <scheme val="minor"/>
      </rPr>
      <t xml:space="preserve">  - assist LEA in meeting personnel shortages</t>
    </r>
  </si>
  <si>
    <r>
      <t xml:space="preserve">Opt. Auth Activ: </t>
    </r>
    <r>
      <rPr>
        <b/>
        <u/>
        <sz val="11"/>
        <color theme="4" tint="-0.249977111117893"/>
        <rFont val="Calibri"/>
        <family val="2"/>
        <scheme val="minor"/>
      </rPr>
      <t xml:space="preserve"> M :</t>
    </r>
    <r>
      <rPr>
        <b/>
        <sz val="11"/>
        <color theme="4" tint="-0.249977111117893"/>
        <rFont val="Calibri"/>
        <family val="2"/>
        <scheme val="minor"/>
      </rPr>
      <t xml:space="preserve"> support capacity bldg activ &amp; improve the deliv of svcs by LEA to improve results for childx with disab.</t>
    </r>
  </si>
  <si>
    <r>
      <t xml:space="preserve">Opt. Auth Activ:  </t>
    </r>
    <r>
      <rPr>
        <b/>
        <u/>
        <sz val="11"/>
        <color theme="4" tint="-0.249977111117893"/>
        <rFont val="Calibri"/>
        <family val="2"/>
        <scheme val="minor"/>
      </rPr>
      <t>N-</t>
    </r>
    <r>
      <rPr>
        <b/>
        <sz val="11"/>
        <color theme="4" tint="-0.249977111117893"/>
        <rFont val="Calibri"/>
        <family val="2"/>
        <scheme val="minor"/>
      </rPr>
      <t xml:space="preserve"> support paperwork reduction activities, incl expanding the use of technology on IEP process</t>
    </r>
  </si>
  <si>
    <t xml:space="preserve"> EOE IT - Rhinah's position to assist with the planning of use of technology in the IEP process</t>
  </si>
  <si>
    <r>
      <t xml:space="preserve">Opt. Auth Activ:  </t>
    </r>
    <r>
      <rPr>
        <b/>
        <u/>
        <sz val="11"/>
        <color theme="4" tint="-0.249977111117893"/>
        <rFont val="Calibri"/>
        <family val="2"/>
        <scheme val="minor"/>
      </rPr>
      <t>O  -</t>
    </r>
    <r>
      <rPr>
        <b/>
        <sz val="11"/>
        <color theme="4" tint="-0.249977111117893"/>
        <rFont val="Calibri"/>
        <family val="2"/>
        <scheme val="minor"/>
      </rPr>
      <t xml:space="preserve">  improve the use of techn. In the classroom</t>
    </r>
  </si>
  <si>
    <r>
      <t>Opt. Auth Activ:</t>
    </r>
    <r>
      <rPr>
        <b/>
        <u/>
        <sz val="11"/>
        <color theme="4" tint="-0.249977111117893"/>
        <rFont val="Calibri"/>
        <family val="2"/>
        <scheme val="minor"/>
      </rPr>
      <t xml:space="preserve"> P  - </t>
    </r>
    <r>
      <rPr>
        <b/>
        <sz val="11"/>
        <color theme="4" tint="-0.249977111117893"/>
        <rFont val="Calibri"/>
        <family val="2"/>
        <scheme val="minor"/>
      </rPr>
      <t>support use of tech, incl tech w/ universal design princip. &amp; asst techn devices, to max accessib to the gen edu curric 4 children w/ disab</t>
    </r>
  </si>
  <si>
    <t xml:space="preserve"> Umass ISA 4 TVI/OM program, BU for ASL Program, +indir, and AIM library contract for Braille materials/devices+indir</t>
  </si>
  <si>
    <r>
      <t xml:space="preserve">Opt. Auth Activ: </t>
    </r>
    <r>
      <rPr>
        <b/>
        <u/>
        <sz val="11"/>
        <color theme="4" tint="-0.249977111117893"/>
        <rFont val="Calibri"/>
        <family val="2"/>
        <scheme val="minor"/>
      </rPr>
      <t xml:space="preserve">Q : </t>
    </r>
    <r>
      <rPr>
        <b/>
        <sz val="11"/>
        <color theme="4" tint="-0.249977111117893"/>
        <rFont val="Calibri"/>
        <family val="2"/>
        <scheme val="minor"/>
      </rPr>
      <t xml:space="preserve"> Develpmt &amp; implem of transition programs, incl. coordination of svcs with agencies inv in supporting the transition of children w/ disab</t>
    </r>
  </si>
  <si>
    <t>CSPD trainers for educators on secondary transition.  Per MD, contract with FCSN for family engmt has portion on brochure provision in 6 languages for sec transition, SEPAC written guidance document which covers all grades, and training provided by FCSN for secondary transition services ($30K)</t>
  </si>
  <si>
    <r>
      <t xml:space="preserve">Opt. Auth Activ: </t>
    </r>
    <r>
      <rPr>
        <b/>
        <u/>
        <sz val="11"/>
        <color theme="4" tint="-0.249977111117893"/>
        <rFont val="Calibri"/>
        <family val="2"/>
        <scheme val="minor"/>
      </rPr>
      <t>R  -</t>
    </r>
    <r>
      <rPr>
        <b/>
        <sz val="11"/>
        <color theme="4" tint="-0.249977111117893"/>
        <rFont val="Calibri"/>
        <family val="2"/>
        <scheme val="minor"/>
      </rPr>
      <t xml:space="preserve"> Alternat progr 4 children w/ disab who have been expelled from school, in correctional faci., enrolled in state operated or state supported schools</t>
    </r>
  </si>
  <si>
    <t xml:space="preserve"> SEIS budget</t>
  </si>
  <si>
    <r>
      <t xml:space="preserve">Opt. Auth Activ: </t>
    </r>
    <r>
      <rPr>
        <b/>
        <u/>
        <sz val="11"/>
        <color theme="4" tint="-0.249977111117893"/>
        <rFont val="Calibri"/>
        <family val="2"/>
        <scheme val="minor"/>
      </rPr>
      <t>S  -</t>
    </r>
    <r>
      <rPr>
        <b/>
        <sz val="11"/>
        <color theme="4" tint="-0.249977111117893"/>
        <rFont val="Calibri"/>
        <family val="2"/>
        <scheme val="minor"/>
      </rPr>
      <t xml:space="preserve">  support dev &amp; provision of approp accommod, dev of alternate assessmts</t>
    </r>
  </si>
  <si>
    <t>All  MCAs COSTS</t>
  </si>
  <si>
    <r>
      <t xml:space="preserve">Opt. Auth Activ: </t>
    </r>
    <r>
      <rPr>
        <b/>
        <u/>
        <sz val="11"/>
        <color theme="1"/>
        <rFont val="Calibri"/>
        <family val="2"/>
        <scheme val="minor"/>
      </rPr>
      <t>T -</t>
    </r>
    <r>
      <rPr>
        <sz val="11"/>
        <color theme="1"/>
        <rFont val="Calibri"/>
        <family val="2"/>
        <scheme val="minor"/>
      </rPr>
      <t xml:space="preserve"> provide TA to schools &amp; LEAS, &amp; direct svcs, incl. direct student svcs </t>
    </r>
  </si>
  <si>
    <r>
      <t>O</t>
    </r>
    <r>
      <rPr>
        <b/>
        <sz val="11"/>
        <color theme="1"/>
        <rFont val="Calibri"/>
        <family val="2"/>
        <scheme val="minor"/>
      </rPr>
      <t>ther SPED project / work funding out of the 7001 ACCT</t>
    </r>
  </si>
  <si>
    <t>Other SPED project / work funding out of the 7001 ACCT- including:  IEP project, research / planning, IT project mgmt,  goal is to make the process easier to have online forms and applications (CAST Inc contract).  Different PDs will be available to support special education training and guidance and other special education related development &amp; policy planning; D.E.I work, Inclusive practice support, funds to support litigation, FC 274 - $3M if has money left</t>
  </si>
  <si>
    <r>
      <rPr>
        <b/>
        <u/>
        <sz val="11"/>
        <color theme="1"/>
        <rFont val="Calibri"/>
        <family val="2"/>
        <scheme val="minor"/>
      </rPr>
      <t>U</t>
    </r>
    <r>
      <rPr>
        <sz val="11"/>
        <color theme="1"/>
        <rFont val="Calibri"/>
        <family val="2"/>
        <scheme val="minor"/>
      </rPr>
      <t>;  disbursemt from high cost fund</t>
    </r>
  </si>
  <si>
    <r>
      <rPr>
        <b/>
        <u/>
        <sz val="11"/>
        <color theme="1"/>
        <rFont val="Calibri"/>
        <family val="2"/>
        <scheme val="minor"/>
      </rPr>
      <t>V;</t>
    </r>
    <r>
      <rPr>
        <sz val="11"/>
        <color theme="1"/>
        <rFont val="Calibri"/>
        <family val="2"/>
        <scheme val="minor"/>
      </rPr>
      <t xml:space="preserve"> support innovative &amp; effective ways of cost sharing among a consortium of LEAS</t>
    </r>
  </si>
  <si>
    <t>The contract here also include their indirect costs</t>
  </si>
  <si>
    <t>Total Award</t>
  </si>
  <si>
    <t xml:space="preserve">  LEA Base Allocation</t>
  </si>
  <si>
    <t xml:space="preserve">  Maximum  Available for Administration</t>
  </si>
  <si>
    <t xml:space="preserve"> Maximum Other Set-Aside If ACTUAL Administration is Greater than $850,000 With Risk Pool </t>
  </si>
  <si>
    <t xml:space="preserve">Maximum Other Set-Aside If ACTUAL Administration is Greater than $850,000 Without Risk Pool </t>
  </si>
  <si>
    <t xml:space="preserve">Maximum Other Set-Aside If ACTUAL Administration is Less than or Equal to $850,000 With Risk Pool </t>
  </si>
  <si>
    <t>Maximum Other Set-Aside If ACTUAL Administration is Less than or Equal to $850,000 Without Risk Pool</t>
  </si>
  <si>
    <t xml:space="preserve">  July 1 to September 30 Regular Awards</t>
  </si>
  <si>
    <t xml:space="preserve">   Regular Awards After October 1</t>
  </si>
  <si>
    <t>A</t>
  </si>
  <si>
    <t>B</t>
  </si>
  <si>
    <t>C</t>
  </si>
  <si>
    <t>D</t>
  </si>
  <si>
    <t>E</t>
  </si>
  <si>
    <t>F</t>
  </si>
  <si>
    <t>G</t>
  </si>
  <si>
    <t>H</t>
  </si>
  <si>
    <t>I</t>
  </si>
  <si>
    <t>J</t>
  </si>
  <si>
    <t>TOTAL</t>
  </si>
  <si>
    <t>Dept of the Interior</t>
  </si>
  <si>
    <t>Northern Marianas</t>
  </si>
  <si>
    <t>Freely Associated</t>
  </si>
  <si>
    <t>Other</t>
  </si>
  <si>
    <t>Unallocated</t>
  </si>
  <si>
    <r>
      <t xml:space="preserve">NOTE: </t>
    </r>
    <r>
      <rPr>
        <sz val="11"/>
        <rFont val="Arial"/>
        <family val="2"/>
      </rPr>
      <t xml:space="preserve"> The minimum total amount that a State </t>
    </r>
    <r>
      <rPr>
        <b/>
        <sz val="11"/>
        <rFont val="Arial"/>
        <family val="2"/>
      </rPr>
      <t xml:space="preserve">must </t>
    </r>
    <r>
      <rPr>
        <sz val="11"/>
        <rFont val="Arial"/>
        <family val="2"/>
      </rPr>
      <t>pass on to LEAs (excluding funds in a risk pool) is the Total Award (in Column B) less the amount in available to the State for Admin (Column D), less the amount set-aside for other activities (in either Column E, F, G, or H). If a State establishes a risk pool, at least 10 Percent of the amount ACTUALLY set aside (under Column E or G) must be used for the risk pool.</t>
    </r>
  </si>
  <si>
    <r>
      <t>Stephen Garschina-Bobrow</t>
    </r>
    <r>
      <rPr>
        <sz val="11"/>
        <color theme="1"/>
        <rFont val="Calibri"/>
        <family val="2"/>
        <scheme val="minor"/>
      </rPr>
      <t xml:space="preserve"> is the Mathematics Content Support Specialist in the Center for Instructional Support. In this role, he leads a network of Math District Leaders and develops professional development sessions around supporting mathematics instruction in schools that is supportive of diverse needs of students. Additionally, Stephen works with the math curriculum review projects, where he has built out curriculum review rubrics that include indicators around how materials support the learning for students with special needs, and how materials support teachers in well-teaching students with special needs. Stephen also provides instructional support through direct assistance with schools and districts receiving state assistance, and all these schools are serving populations of students with special needs. Stephen also works in connection with colleagues supporting the work of Multi-Tiered System of Support (MTSS) in schools and districts in MA towards supporting students with special needs having access to a quality, personalized educational experience.</t>
    </r>
  </si>
  <si>
    <t>The Special Education Instructional Strategies Steering Committee was a team within the Special Education Planning and Policy Development Office under Senior Associate Commissioner Russell Johnston on which Ian was the liaison from the Center for Instructional Support. The team used a design thinking approach to rethink the professional development and technical assistance provided to teachers and school leaders related to students with special needs, specifically focusing on high-leverage instructional practices in special education</t>
  </si>
  <si>
    <r>
      <t>Ian Stith</t>
    </r>
    <r>
      <rPr>
        <sz val="11"/>
        <color theme="1"/>
        <rFont val="Calibri"/>
        <family val="2"/>
        <scheme val="minor"/>
      </rPr>
      <t xml:space="preserve"> is the Mathematics Content Support Lead in the Center for Instructional Support. In his role, Ian supports and supervises the math instructional support in MA. This includes supporting district math leaders to make sure students with special needs have access to quality curricular materials and instructional strategies, collaborating with the math vendor who runs the state’s Multi-Tiered System of Support (MTSS) programs, and providing direct targeted assistance to schools and districts receiving state assistance, all serving populations of students with special needs. Ian develops and supports professional learning and resources that help educators better meet the instructional needs of students with special needs in their math classrooms aligned with the principles of the Universal Design for Learning framework. This includes multi-district professional development focused on selecting high-quality instructional material to meet the needs of students with special needs. Ian is also a member of the Special Education Instructional Strategies Steering committee which focuses on supporting educators to move towards instructional strategies targeting the needs of students with special needs</t>
    </r>
  </si>
  <si>
    <t>Joan Tuttle -</t>
  </si>
  <si>
    <t>Sustainable Improvement Planning process</t>
  </si>
  <si>
    <t>Mgr. of Admin School &amp; District Intervention</t>
  </si>
  <si>
    <t>Statewide System of Support  (SSoS)</t>
  </si>
  <si>
    <t>Turnaround  practices</t>
  </si>
  <si>
    <t>FISCAL YEAR 2022 ALLOCATIONS FOR GRANTS TO STATES
INDIVIDUALS WITH DISABILITIES EDUCATION ACT - PART B, SECTION 611 - TABLE I</t>
  </si>
  <si>
    <r>
      <rPr>
        <b/>
        <sz val="11"/>
        <rFont val="Calibri"/>
        <family val="2"/>
        <scheme val="minor"/>
      </rPr>
      <t xml:space="preserve">         </t>
    </r>
    <r>
      <rPr>
        <sz val="11"/>
        <rFont val="Calibri"/>
        <family val="2"/>
        <scheme val="minor"/>
      </rPr>
      <t>Stud &amp; Fam Support</t>
    </r>
    <r>
      <rPr>
        <b/>
        <sz val="11"/>
        <rFont val="Calibri"/>
        <family val="2"/>
        <scheme val="minor"/>
      </rPr>
      <t xml:space="preserve"> </t>
    </r>
    <r>
      <rPr>
        <sz val="11"/>
        <rFont val="Calibri"/>
        <family val="2"/>
        <scheme val="minor"/>
      </rPr>
      <t xml:space="preserve"> </t>
    </r>
    <r>
      <rPr>
        <b/>
        <sz val="11"/>
        <rFont val="Calibri"/>
        <family val="2"/>
        <scheme val="minor"/>
      </rPr>
      <t>244/245</t>
    </r>
    <r>
      <rPr>
        <sz val="11"/>
        <rFont val="Calibri"/>
        <family val="2"/>
        <scheme val="minor"/>
      </rPr>
      <t xml:space="preserve">      MTSS' LEAP </t>
    </r>
    <r>
      <rPr>
        <b/>
        <sz val="11"/>
        <rFont val="Calibri"/>
        <family val="2"/>
        <scheme val="minor"/>
      </rPr>
      <t>231 &amp;</t>
    </r>
    <r>
      <rPr>
        <sz val="11"/>
        <rFont val="Calibri"/>
        <family val="2"/>
        <scheme val="minor"/>
      </rPr>
      <t xml:space="preserve"> WAZ </t>
    </r>
    <r>
      <rPr>
        <b/>
        <sz val="11"/>
        <rFont val="Calibri"/>
        <family val="2"/>
        <scheme val="minor"/>
      </rPr>
      <t>248</t>
    </r>
    <r>
      <rPr>
        <sz val="11"/>
        <rFont val="Calibri"/>
        <family val="2"/>
        <scheme val="minor"/>
      </rPr>
      <t xml:space="preserve">  grants  </t>
    </r>
    <r>
      <rPr>
        <i/>
        <sz val="11"/>
        <rFont val="Calibri"/>
        <family val="2"/>
        <scheme val="minor"/>
      </rPr>
      <t xml:space="preserve">      </t>
    </r>
    <r>
      <rPr>
        <sz val="11"/>
        <rFont val="Calibri"/>
        <family val="2"/>
        <scheme val="minor"/>
      </rPr>
      <t xml:space="preserve"> And  DSAC work - D Parker's math consultant contract.</t>
    </r>
  </si>
  <si>
    <r>
      <t xml:space="preserve"> THE ANSWER SHOULD BE 'OK'.  </t>
    </r>
    <r>
      <rPr>
        <b/>
        <sz val="11"/>
        <color rgb="FFFF0000"/>
        <rFont val="Calibri"/>
        <family val="2"/>
        <scheme val="minor"/>
      </rPr>
      <t>Cannot be red in this field w/ errors</t>
    </r>
  </si>
  <si>
    <t xml:space="preserve">K Cross AA, 5%, DD, &amp; indirect </t>
  </si>
  <si>
    <t xml:space="preserve">B Shor AA + 5.% est. incr + DD + indir </t>
  </si>
  <si>
    <t>S G Borrow &amp; I Stith AA + 5% est inc + DD + indirc</t>
  </si>
  <si>
    <t xml:space="preserve"> J Tuttle AA + 4% est inc+DD + indirect</t>
  </si>
  <si>
    <t xml:space="preserve"> BC Spedex Admin.,  Umass AIR,  sign dispro convening,  MTSS projects (less MTSS grants &amp; DEI &amp; PBIS work) and indirect costs </t>
  </si>
  <si>
    <t xml:space="preserve">Leadership Academies, MCD, Dyslexia, family engagement and indirect costs </t>
  </si>
  <si>
    <r>
      <t>MTSS' Culturally Responsive Teaching and Culturally Responsive Practice Leadership Academies (Blackprint &amp; Test4ME)</t>
    </r>
    <r>
      <rPr>
        <b/>
        <sz val="11"/>
        <rFont val="Calibri"/>
        <family val="2"/>
        <scheme val="minor"/>
      </rPr>
      <t xml:space="preserve"> $441708 &amp; $345412)indir $50K)</t>
    </r>
    <r>
      <rPr>
        <sz val="11"/>
        <rFont val="Calibri"/>
        <family val="2"/>
        <scheme val="minor"/>
      </rPr>
      <t xml:space="preserve">            PSM race PD </t>
    </r>
    <r>
      <rPr>
        <b/>
        <sz val="11"/>
        <rFont val="Calibri"/>
        <family val="2"/>
        <scheme val="minor"/>
      </rPr>
      <t xml:space="preserve">$120K (ind.  10800)   </t>
    </r>
    <r>
      <rPr>
        <sz val="11"/>
        <rFont val="Calibri"/>
        <family val="2"/>
        <scheme val="minor"/>
      </rPr>
      <t xml:space="preserve">    =$$60800 indir.  -   Racial Intersectionality &amp; t</t>
    </r>
    <r>
      <rPr>
        <u/>
        <sz val="11"/>
        <rFont val="Calibri"/>
        <family val="2"/>
        <scheme val="minor"/>
      </rPr>
      <t>o recruit people of color educators (or other DEI pd)</t>
    </r>
  </si>
  <si>
    <t>We will move $$$ to FC240- distribution as increase to secure the pass through threshold so that we don't fall under when LEAs decline or return entitled funding</t>
  </si>
  <si>
    <t>Systems for Student Success Office (SfSS)  The Systems for Student Success Office (SfSS) is one of five offices within the Statewide System of Support that provides evidence-based targeted assistance and support to schools and districts designated as Requiring Assistance and Intervention by the Massachusetts accountability system. More specifically, SfSS designs and delivers resources, professional development, grants, and assistance to enhance integrated, tiered, and systemic approaches to supporting the social emotional and academic needs of all students, and especially those who have been historically marginalized (e.g. students of color, students with disabilities, English learners,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</si>
</sst>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quot;$&quot;#,##0"/>
    <numFmt numFmtId="166" formatCode="_(* #,##0_);_(* \(#,##0\);_(* &quot;-&quot;??_);_(@_)"/>
    <numFmt numFmtId="167" formatCode="_(* #,##0.000000000_);_(* \(#,##0.000000000\);_(* &quot;-&quot;??_);_(@_)"/>
  </numFmts>
  <fonts count="42" x14ac:knownFonts="1">
    <font>
      <sz val="11"/>
      <color theme="1"/>
      <name val="Calibri"/>
      <family val="2"/>
      <scheme val="minor"/>
    </font>
    <font>
      <sz val="11"/>
      <color theme="1"/>
      <name val="Calibri"/>
      <family val="2"/>
      <scheme val="minor"/>
    </font>
    <font>
      <b/>
      <sz val="16"/>
      <name val="Arial"/>
      <family val="2"/>
    </font>
    <font>
      <sz val="10"/>
      <color theme="0"/>
      <name val="Arial"/>
      <family val="2"/>
    </font>
    <font>
      <sz val="10"/>
      <color indexed="9"/>
      <name val="Arial"/>
      <family val="2"/>
    </font>
    <font>
      <sz val="10"/>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
      <sz val="11"/>
      <color rgb="FF006100"/>
      <name val="Calibri"/>
      <family val="2"/>
      <scheme val="minor"/>
    </font>
    <font>
      <b/>
      <sz val="11"/>
      <color theme="1"/>
      <name val="Calibri"/>
      <family val="2"/>
      <scheme val="minor"/>
    </font>
    <font>
      <sz val="11"/>
      <color rgb="FF9C6500"/>
      <name val="Calibri"/>
      <family val="2"/>
      <scheme val="minor"/>
    </font>
    <font>
      <i/>
      <sz val="11"/>
      <color theme="1"/>
      <name val="Calibri"/>
      <family val="2"/>
      <scheme val="minor"/>
    </font>
    <font>
      <sz val="11"/>
      <color rgb="FF00B050"/>
      <name val="Calibri"/>
      <family val="2"/>
      <scheme val="minor"/>
    </font>
    <font>
      <u/>
      <sz val="11"/>
      <color theme="1"/>
      <name val="Calibri"/>
      <family val="2"/>
      <scheme val="minor"/>
    </font>
    <font>
      <sz val="11"/>
      <color rgb="FF00B0F0"/>
      <name val="Calibri"/>
      <family val="2"/>
      <scheme val="minor"/>
    </font>
    <font>
      <b/>
      <u/>
      <sz val="11"/>
      <color theme="1"/>
      <name val="Calibri"/>
      <family val="2"/>
      <scheme val="minor"/>
    </font>
    <font>
      <u val="singleAccounting"/>
      <sz val="11"/>
      <color theme="1"/>
      <name val="Calibri"/>
      <family val="2"/>
      <scheme val="minor"/>
    </font>
    <font>
      <b/>
      <sz val="13"/>
      <name val="Arial"/>
      <family val="2"/>
    </font>
    <font>
      <b/>
      <sz val="11"/>
      <name val="Arial"/>
      <family val="2"/>
    </font>
    <font>
      <sz val="11"/>
      <name val="Arial"/>
      <family val="2"/>
    </font>
    <font>
      <sz val="18"/>
      <name val="Arial"/>
      <family val="2"/>
    </font>
    <font>
      <sz val="10.5"/>
      <color theme="1"/>
      <name val="Segoe UI"/>
      <family val="2"/>
    </font>
    <font>
      <b/>
      <sz val="11"/>
      <color rgb="FF00B050"/>
      <name val="Calibri"/>
      <family val="2"/>
      <scheme val="minor"/>
    </font>
    <font>
      <u/>
      <sz val="11"/>
      <color theme="10"/>
      <name val="Calibri"/>
      <family val="2"/>
      <scheme val="minor"/>
    </font>
    <font>
      <b/>
      <sz val="11"/>
      <name val="Calibri"/>
      <family val="2"/>
      <scheme val="minor"/>
    </font>
    <font>
      <u/>
      <sz val="11"/>
      <name val="Calibri"/>
      <family val="2"/>
      <scheme val="minor"/>
    </font>
    <font>
      <i/>
      <sz val="11"/>
      <name val="Calibri"/>
      <family val="2"/>
      <scheme val="minor"/>
    </font>
    <font>
      <b/>
      <sz val="11"/>
      <color rgb="FFFF0000"/>
      <name val="Calibri"/>
      <family val="2"/>
      <scheme val="minor"/>
    </font>
    <font>
      <i/>
      <sz val="11"/>
      <color rgb="FF00B050"/>
      <name val="Calibri"/>
      <family val="2"/>
      <scheme val="minor"/>
    </font>
    <font>
      <b/>
      <u/>
      <sz val="11"/>
      <color rgb="FF00B050"/>
      <name val="Calibri"/>
      <family val="2"/>
      <scheme val="minor"/>
    </font>
    <font>
      <b/>
      <sz val="11"/>
      <color theme="4" tint="-0.249977111117893"/>
      <name val="Calibri"/>
      <family val="2"/>
      <scheme val="minor"/>
    </font>
    <font>
      <b/>
      <u/>
      <sz val="11"/>
      <color theme="4" tint="-0.249977111117893"/>
      <name val="Calibri"/>
      <family val="2"/>
      <scheme val="minor"/>
    </font>
    <font>
      <sz val="8"/>
      <color rgb="FF222222"/>
      <name val="Segoe UI"/>
      <family val="2"/>
    </font>
    <font>
      <sz val="11"/>
      <color rgb="FF222222"/>
      <name val="Segoe UI"/>
      <family val="2"/>
    </font>
  </fonts>
  <fills count="13">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rgb="FFC6EFCE"/>
      </patternFill>
    </fill>
    <fill>
      <patternFill patternType="solid">
        <fgColor rgb="FFFFEB9C"/>
      </patternFill>
    </fill>
    <fill>
      <patternFill patternType="solid">
        <fgColor rgb="FF92D050"/>
        <bgColor indexed="64"/>
      </patternFill>
    </fill>
    <fill>
      <patternFill patternType="solid">
        <fgColor rgb="FFFFFF00"/>
        <bgColor indexed="64"/>
      </patternFill>
    </fill>
    <fill>
      <patternFill patternType="solid">
        <fgColor indexed="41"/>
        <bgColor indexed="64"/>
      </patternFill>
    </fill>
    <fill>
      <patternFill patternType="solid">
        <fgColor theme="2" tint="-0.499984740745262"/>
        <bgColor indexed="64"/>
      </patternFill>
    </fill>
    <fill>
      <patternFill patternType="solid">
        <fgColor indexed="22"/>
        <bgColor indexed="64"/>
      </patternFill>
    </fill>
    <fill>
      <patternFill patternType="gray0625"/>
    </fill>
    <fill>
      <patternFill patternType="solid">
        <fgColor theme="0"/>
        <bgColor indexed="64"/>
      </patternFill>
    </fill>
  </fills>
  <borders count="2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diagonal/>
    </border>
    <border>
      <left/>
      <right style="double">
        <color indexed="64"/>
      </right>
      <top/>
      <bottom/>
      <diagonal/>
    </border>
    <border>
      <left style="double">
        <color indexed="64"/>
      </left>
      <right style="thin">
        <color indexed="64"/>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s>
  <cellStyleXfs count="8">
    <xf numFmtId="0" fontId="0" fillId="0" borderId="0"/>
    <xf numFmtId="44" fontId="1" fillId="0" borderId="0" applyFont="0" applyFill="0" applyBorder="0" applyAlignment="0" applyProtection="0"/>
    <xf numFmtId="0" fontId="16" fillId="4" borderId="0" applyNumberFormat="0" applyBorder="0" applyAlignment="0" applyProtection="0"/>
    <xf numFmtId="0" fontId="18" fillId="5" borderId="0" applyNumberFormat="0" applyBorder="0" applyAlignment="0" applyProtection="0"/>
    <xf numFmtId="43" fontId="1" fillId="0" borderId="0" applyFont="0" applyFill="0" applyBorder="0" applyAlignment="0" applyProtection="0"/>
    <xf numFmtId="0" fontId="31" fillId="0" borderId="0" applyNumberFormat="0" applyFill="0" applyBorder="0" applyAlignment="0" applyProtection="0"/>
    <xf numFmtId="0" fontId="5" fillId="0" borderId="0"/>
    <xf numFmtId="44" fontId="5" fillId="0" borderId="0" applyFont="0" applyFill="0" applyBorder="0" applyAlignment="0" applyProtection="0"/>
  </cellStyleXfs>
  <cellXfs count="222">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6"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6" fontId="0" fillId="3" borderId="0" xfId="0" applyNumberFormat="1" applyFill="1" applyAlignment="1">
      <alignment horizontal="right"/>
    </xf>
    <xf numFmtId="0" fontId="7"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9"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165" fontId="0" fillId="3" borderId="0" xfId="0" applyNumberFormat="1" applyFill="1"/>
    <xf numFmtId="0" fontId="5" fillId="3" borderId="0" xfId="0" applyFont="1" applyFill="1"/>
    <xf numFmtId="0" fontId="5" fillId="3" borderId="0" xfId="0" applyFont="1" applyFill="1" applyAlignment="1">
      <alignment horizontal="left"/>
    </xf>
    <xf numFmtId="165" fontId="10" fillId="0" borderId="0" xfId="0" quotePrefix="1" applyNumberFormat="1" applyFont="1"/>
    <xf numFmtId="0" fontId="5" fillId="0" borderId="0" xfId="0" applyFont="1"/>
    <xf numFmtId="0" fontId="7" fillId="3" borderId="2" xfId="0" applyFont="1" applyFill="1" applyBorder="1" applyAlignment="1" applyProtection="1">
      <alignment horizontal="right"/>
      <protection locked="0"/>
    </xf>
    <xf numFmtId="0" fontId="0" fillId="3" borderId="0" xfId="0" applyFill="1" applyAlignment="1">
      <alignment horizontal="right" vertical="center"/>
    </xf>
    <xf numFmtId="0" fontId="11"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6" fillId="3" borderId="0" xfId="0" applyNumberFormat="1" applyFont="1" applyFill="1"/>
    <xf numFmtId="165" fontId="0" fillId="3" borderId="2" xfId="0" applyNumberFormat="1" applyFill="1" applyBorder="1" applyAlignment="1" applyProtection="1">
      <alignment vertical="top"/>
      <protection locked="0"/>
    </xf>
    <xf numFmtId="0" fontId="0" fillId="3" borderId="3" xfId="0" applyFill="1" applyBorder="1" applyAlignment="1">
      <alignment horizontal="right" vertical="top"/>
    </xf>
    <xf numFmtId="165" fontId="7" fillId="0" borderId="0" xfId="0" applyNumberFormat="1" applyFont="1"/>
    <xf numFmtId="165" fontId="7"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3" fillId="0" borderId="0" xfId="0" applyFont="1"/>
    <xf numFmtId="0" fontId="5" fillId="0" borderId="0" xfId="0" applyFont="1" applyAlignment="1">
      <alignment vertical="top"/>
    </xf>
    <xf numFmtId="5" fontId="5" fillId="0" borderId="0" xfId="0" applyNumberFormat="1" applyFont="1" applyAlignment="1">
      <alignment horizontal="center"/>
    </xf>
    <xf numFmtId="0" fontId="4" fillId="0" borderId="0" xfId="0" applyFont="1" applyAlignment="1">
      <alignment vertical="top"/>
    </xf>
    <xf numFmtId="0" fontId="7" fillId="0" borderId="0" xfId="0" applyFont="1" applyAlignment="1">
      <alignment vertical="top"/>
    </xf>
    <xf numFmtId="165" fontId="11" fillId="0" borderId="0" xfId="0" applyNumberFormat="1" applyFont="1" applyAlignment="1">
      <alignment horizontal="right" vertical="top"/>
    </xf>
    <xf numFmtId="165" fontId="4" fillId="0" borderId="0" xfId="0" applyNumberFormat="1" applyFont="1" applyAlignment="1">
      <alignment vertical="top"/>
    </xf>
    <xf numFmtId="165" fontId="11" fillId="0" borderId="0" xfId="0" applyNumberFormat="1" applyFont="1" applyAlignment="1">
      <alignment horizontal="center"/>
    </xf>
    <xf numFmtId="0" fontId="11" fillId="0" borderId="0" xfId="0" applyFont="1" applyAlignment="1">
      <alignment horizontal="center" vertical="top"/>
    </xf>
    <xf numFmtId="165" fontId="11" fillId="0" borderId="0" xfId="0" applyNumberFormat="1" applyFont="1" applyAlignment="1">
      <alignment horizontal="center" vertical="top"/>
    </xf>
    <xf numFmtId="165" fontId="7" fillId="0" borderId="0" xfId="0" applyNumberFormat="1" applyFont="1" applyAlignment="1">
      <alignment horizontal="center" vertical="top"/>
    </xf>
    <xf numFmtId="165" fontId="11" fillId="0" borderId="0" xfId="0" applyNumberFormat="1" applyFont="1" applyAlignment="1">
      <alignment vertical="top"/>
    </xf>
    <xf numFmtId="5" fontId="4" fillId="0" borderId="0" xfId="0" applyNumberFormat="1" applyFont="1" applyAlignment="1">
      <alignment horizontal="left"/>
    </xf>
    <xf numFmtId="2" fontId="7" fillId="0" borderId="0" xfId="0" applyNumberFormat="1" applyFont="1" applyAlignment="1">
      <alignment horizontal="center" vertical="top"/>
    </xf>
    <xf numFmtId="0" fontId="17" fillId="6" borderId="4" xfId="0" applyFont="1" applyFill="1" applyBorder="1" applyAlignment="1">
      <alignment horizontal="center" vertical="center" wrapText="1"/>
    </xf>
    <xf numFmtId="164" fontId="17" fillId="6" borderId="5" xfId="1" applyNumberFormat="1" applyFont="1" applyFill="1" applyBorder="1" applyAlignment="1">
      <alignment horizontal="center" vertical="center" wrapText="1"/>
    </xf>
    <xf numFmtId="44" fontId="17" fillId="6" borderId="5" xfId="1"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0" borderId="0" xfId="0" applyFont="1" applyAlignment="1">
      <alignment horizontal="center" vertical="center" wrapText="1"/>
    </xf>
    <xf numFmtId="0" fontId="0" fillId="6" borderId="0" xfId="0" applyFill="1" applyAlignment="1">
      <alignment horizontal="center" vertical="center" wrapText="1"/>
    </xf>
    <xf numFmtId="164" fontId="1" fillId="6" borderId="0" xfId="1" applyNumberFormat="1" applyFont="1" applyFill="1" applyBorder="1" applyAlignment="1">
      <alignment horizontal="center" vertical="center" wrapText="1"/>
    </xf>
    <xf numFmtId="44" fontId="1" fillId="6" borderId="0" xfId="1" applyFont="1" applyFill="1" applyAlignment="1">
      <alignment horizontal="center" vertical="center" wrapText="1"/>
    </xf>
    <xf numFmtId="0" fontId="0" fillId="0" borderId="0" xfId="0" applyAlignment="1">
      <alignment horizontal="center" vertical="center" wrapText="1"/>
    </xf>
    <xf numFmtId="164" fontId="0" fillId="6" borderId="0" xfId="1" applyNumberFormat="1" applyFont="1" applyFill="1" applyBorder="1" applyAlignment="1">
      <alignment horizontal="center" vertical="center" wrapText="1"/>
    </xf>
    <xf numFmtId="0" fontId="18" fillId="5" borderId="4" xfId="3" applyBorder="1" applyAlignment="1">
      <alignment horizontal="center" vertical="center" wrapText="1"/>
    </xf>
    <xf numFmtId="164" fontId="18" fillId="5" borderId="5" xfId="3" applyNumberFormat="1" applyBorder="1" applyAlignment="1">
      <alignment horizontal="center" vertical="center" wrapText="1"/>
    </xf>
    <xf numFmtId="44" fontId="18" fillId="5" borderId="5" xfId="3" applyNumberFormat="1" applyBorder="1" applyAlignment="1">
      <alignment horizontal="center" vertical="center" wrapText="1"/>
    </xf>
    <xf numFmtId="0" fontId="18" fillId="5" borderId="6" xfId="3" applyBorder="1" applyAlignment="1">
      <alignment horizontal="center" vertical="center" wrapText="1"/>
    </xf>
    <xf numFmtId="0" fontId="18" fillId="5" borderId="7" xfId="3" applyBorder="1" applyAlignment="1">
      <alignment horizontal="center" vertical="center" wrapText="1"/>
    </xf>
    <xf numFmtId="164" fontId="18" fillId="5" borderId="8" xfId="3" applyNumberFormat="1" applyBorder="1" applyAlignment="1">
      <alignment horizontal="center" vertical="center" wrapText="1"/>
    </xf>
    <xf numFmtId="44" fontId="18" fillId="5" borderId="8" xfId="3" applyNumberFormat="1" applyBorder="1" applyAlignment="1">
      <alignment horizontal="center" vertical="center" wrapText="1"/>
    </xf>
    <xf numFmtId="0" fontId="18" fillId="5" borderId="9" xfId="3" applyBorder="1" applyAlignment="1">
      <alignment horizontal="center" vertical="center" wrapText="1"/>
    </xf>
    <xf numFmtId="0" fontId="18" fillId="5" borderId="10" xfId="3" applyBorder="1" applyAlignment="1">
      <alignment horizontal="center" vertical="center" wrapText="1"/>
    </xf>
    <xf numFmtId="164" fontId="18" fillId="5" borderId="1" xfId="3" applyNumberFormat="1" applyBorder="1" applyAlignment="1">
      <alignment horizontal="center" vertical="center" wrapText="1"/>
    </xf>
    <xf numFmtId="44" fontId="18" fillId="5" borderId="1" xfId="3" applyNumberFormat="1" applyBorder="1" applyAlignment="1">
      <alignment horizontal="center" vertical="center" wrapText="1"/>
    </xf>
    <xf numFmtId="0" fontId="18" fillId="5" borderId="11" xfId="3" applyBorder="1" applyAlignment="1">
      <alignment horizontal="center" vertical="center" wrapText="1"/>
    </xf>
    <xf numFmtId="44" fontId="0" fillId="0" borderId="0" xfId="0" applyNumberFormat="1" applyAlignment="1">
      <alignment horizontal="center" vertical="center" wrapText="1"/>
    </xf>
    <xf numFmtId="0" fontId="0" fillId="0" borderId="0" xfId="0" applyAlignment="1">
      <alignment wrapText="1"/>
    </xf>
    <xf numFmtId="164" fontId="17" fillId="0" borderId="0" xfId="1" applyNumberFormat="1" applyFont="1" applyBorder="1" applyAlignment="1">
      <alignment wrapText="1"/>
    </xf>
    <xf numFmtId="164" fontId="0" fillId="0" borderId="0" xfId="0" applyNumberFormat="1" applyAlignment="1">
      <alignment wrapText="1"/>
    </xf>
    <xf numFmtId="0" fontId="0" fillId="0" borderId="4" xfId="0" applyBorder="1" applyAlignment="1">
      <alignment wrapText="1"/>
    </xf>
    <xf numFmtId="164" fontId="0" fillId="0" borderId="2" xfId="1" applyNumberFormat="1" applyFont="1" applyBorder="1" applyAlignment="1">
      <alignment wrapText="1"/>
    </xf>
    <xf numFmtId="44" fontId="0" fillId="0" borderId="5" xfId="1" applyFont="1" applyBorder="1" applyAlignment="1">
      <alignment wrapText="1"/>
    </xf>
    <xf numFmtId="0" fontId="0" fillId="0" borderId="6" xfId="0" applyBorder="1" applyAlignment="1">
      <alignment wrapText="1"/>
    </xf>
    <xf numFmtId="0" fontId="0" fillId="0" borderId="4" xfId="0" applyBorder="1" applyAlignment="1">
      <alignment horizontal="left" wrapText="1" indent="1"/>
    </xf>
    <xf numFmtId="164" fontId="17" fillId="0" borderId="2" xfId="1" applyNumberFormat="1" applyFont="1" applyBorder="1" applyAlignment="1">
      <alignment wrapText="1"/>
    </xf>
    <xf numFmtId="0" fontId="19" fillId="0" borderId="6" xfId="0" applyFont="1" applyBorder="1" applyAlignment="1">
      <alignment wrapText="1"/>
    </xf>
    <xf numFmtId="44" fontId="0" fillId="0" borderId="0" xfId="1" applyFont="1" applyAlignment="1">
      <alignment wrapText="1"/>
    </xf>
    <xf numFmtId="0" fontId="21" fillId="0" borderId="0" xfId="0" applyFont="1" applyAlignment="1">
      <alignment wrapText="1"/>
    </xf>
    <xf numFmtId="164" fontId="17" fillId="0" borderId="0" xfId="1" applyNumberFormat="1" applyFont="1" applyAlignment="1">
      <alignment wrapText="1"/>
    </xf>
    <xf numFmtId="0" fontId="16" fillId="4" borderId="0" xfId="2" applyAlignment="1">
      <alignment wrapText="1"/>
    </xf>
    <xf numFmtId="164" fontId="16" fillId="4" borderId="0" xfId="2" applyNumberFormat="1" applyAlignment="1">
      <alignment wrapText="1"/>
    </xf>
    <xf numFmtId="164" fontId="17" fillId="0" borderId="5" xfId="1" applyNumberFormat="1" applyFont="1" applyBorder="1" applyAlignment="1">
      <alignment wrapText="1"/>
    </xf>
    <xf numFmtId="0" fontId="18" fillId="5" borderId="0" xfId="3" applyAlignment="1">
      <alignment wrapText="1"/>
    </xf>
    <xf numFmtId="0" fontId="12" fillId="0" borderId="6" xfId="0" applyFont="1" applyBorder="1" applyAlignment="1">
      <alignment wrapText="1"/>
    </xf>
    <xf numFmtId="0" fontId="0" fillId="0" borderId="0" xfId="0" applyAlignment="1">
      <alignment horizontal="left" wrapText="1" indent="1"/>
    </xf>
    <xf numFmtId="164" fontId="20" fillId="0" borderId="0" xfId="1" applyNumberFormat="1" applyFont="1" applyAlignment="1">
      <alignment wrapText="1"/>
    </xf>
    <xf numFmtId="0" fontId="0" fillId="0" borderId="7" xfId="0" applyBorder="1" applyAlignment="1">
      <alignment wrapText="1"/>
    </xf>
    <xf numFmtId="164" fontId="0" fillId="0" borderId="8" xfId="1" applyNumberFormat="1" applyFont="1" applyBorder="1" applyAlignment="1">
      <alignment wrapText="1"/>
    </xf>
    <xf numFmtId="44" fontId="0" fillId="0" borderId="8" xfId="1" applyFont="1" applyBorder="1" applyAlignment="1">
      <alignment wrapText="1"/>
    </xf>
    <xf numFmtId="0" fontId="0" fillId="0" borderId="9" xfId="0" applyBorder="1" applyAlignment="1">
      <alignment wrapText="1"/>
    </xf>
    <xf numFmtId="0" fontId="0" fillId="0" borderId="12" xfId="0" applyBorder="1" applyAlignment="1">
      <alignment wrapText="1"/>
    </xf>
    <xf numFmtId="164" fontId="0" fillId="0" borderId="0" xfId="1" applyNumberFormat="1" applyFont="1" applyBorder="1" applyAlignment="1">
      <alignment wrapText="1"/>
    </xf>
    <xf numFmtId="44" fontId="0" fillId="0" borderId="0" xfId="1" applyFont="1" applyBorder="1" applyAlignment="1">
      <alignment wrapText="1"/>
    </xf>
    <xf numFmtId="0" fontId="0" fillId="0" borderId="3" xfId="0" applyBorder="1" applyAlignment="1">
      <alignment wrapText="1"/>
    </xf>
    <xf numFmtId="0" fontId="0" fillId="0" borderId="10" xfId="0" applyBorder="1" applyAlignment="1">
      <alignment wrapText="1"/>
    </xf>
    <xf numFmtId="164" fontId="0" fillId="0" borderId="1" xfId="1" applyNumberFormat="1" applyFont="1" applyBorder="1" applyAlignment="1">
      <alignment wrapText="1"/>
    </xf>
    <xf numFmtId="44" fontId="0" fillId="0" borderId="1" xfId="1" applyFont="1" applyBorder="1" applyAlignment="1">
      <alignment wrapText="1"/>
    </xf>
    <xf numFmtId="0" fontId="0" fillId="0" borderId="11" xfId="0" applyBorder="1" applyAlignment="1">
      <alignment wrapText="1"/>
    </xf>
    <xf numFmtId="164" fontId="0" fillId="0" borderId="0" xfId="1" applyNumberFormat="1" applyFont="1" applyAlignment="1">
      <alignment wrapText="1"/>
    </xf>
    <xf numFmtId="44" fontId="17" fillId="7" borderId="0" xfId="1" applyFont="1" applyFill="1" applyAlignment="1">
      <alignment wrapText="1"/>
    </xf>
    <xf numFmtId="44" fontId="0" fillId="0" borderId="0" xfId="0" applyNumberFormat="1" applyAlignment="1">
      <alignment wrapText="1"/>
    </xf>
    <xf numFmtId="44" fontId="0" fillId="6" borderId="0" xfId="0" applyNumberFormat="1" applyFill="1" applyAlignment="1">
      <alignment wrapText="1"/>
    </xf>
    <xf numFmtId="44" fontId="0" fillId="0" borderId="0" xfId="1" applyFont="1"/>
    <xf numFmtId="44" fontId="24" fillId="0" borderId="0" xfId="1" applyFont="1"/>
    <xf numFmtId="0" fontId="2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26" fillId="2" borderId="17" xfId="0" applyFont="1" applyFill="1" applyBorder="1" applyAlignment="1">
      <alignment horizontal="center" vertical="center" wrapText="1"/>
    </xf>
    <xf numFmtId="0" fontId="7" fillId="0" borderId="0" xfId="0" applyFont="1"/>
    <xf numFmtId="0" fontId="26" fillId="9" borderId="18" xfId="0" applyFont="1" applyFill="1" applyBorder="1" applyAlignment="1">
      <alignment horizontal="center" vertical="center"/>
    </xf>
    <xf numFmtId="0" fontId="26" fillId="9" borderId="4"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26" fillId="9" borderId="19" xfId="0" applyFont="1" applyFill="1" applyBorder="1" applyAlignment="1">
      <alignment horizontal="center" vertical="center" wrapText="1"/>
    </xf>
    <xf numFmtId="0" fontId="26" fillId="10" borderId="18" xfId="0" applyFont="1" applyFill="1" applyBorder="1"/>
    <xf numFmtId="6" fontId="27" fillId="10" borderId="5" xfId="0" applyNumberFormat="1" applyFont="1" applyFill="1" applyBorder="1"/>
    <xf numFmtId="166" fontId="27" fillId="10" borderId="5" xfId="0" applyNumberFormat="1" applyFont="1" applyFill="1" applyBorder="1"/>
    <xf numFmtId="6" fontId="27" fillId="10" borderId="20" xfId="0" applyNumberFormat="1" applyFont="1" applyFill="1" applyBorder="1"/>
    <xf numFmtId="0" fontId="26" fillId="0" borderId="21" xfId="0" applyFont="1" applyBorder="1"/>
    <xf numFmtId="3" fontId="27" fillId="0" borderId="0" xfId="0" applyNumberFormat="1" applyFont="1"/>
    <xf numFmtId="166" fontId="27" fillId="0" borderId="0" xfId="4" applyNumberFormat="1" applyFont="1" applyBorder="1"/>
    <xf numFmtId="166" fontId="27" fillId="0" borderId="22" xfId="4" applyNumberFormat="1" applyFont="1" applyBorder="1"/>
    <xf numFmtId="164" fontId="0" fillId="0" borderId="0" xfId="1" applyNumberFormat="1" applyFont="1"/>
    <xf numFmtId="44" fontId="0" fillId="0" borderId="0" xfId="0" applyNumberFormat="1"/>
    <xf numFmtId="43" fontId="0" fillId="0" borderId="0" xfId="4" applyFont="1"/>
    <xf numFmtId="0" fontId="26" fillId="10" borderId="21" xfId="0" applyFont="1" applyFill="1" applyBorder="1"/>
    <xf numFmtId="3" fontId="27" fillId="10" borderId="0" xfId="0" applyNumberFormat="1" applyFont="1" applyFill="1"/>
    <xf numFmtId="166" fontId="27" fillId="10" borderId="0" xfId="4" applyNumberFormat="1" applyFont="1" applyFill="1" applyBorder="1"/>
    <xf numFmtId="166" fontId="27" fillId="10" borderId="22" xfId="4" applyNumberFormat="1" applyFont="1" applyFill="1" applyBorder="1"/>
    <xf numFmtId="164" fontId="0" fillId="0" borderId="0" xfId="0" applyNumberFormat="1"/>
    <xf numFmtId="0" fontId="5" fillId="0" borderId="0" xfId="0" applyFont="1" applyAlignment="1">
      <alignment wrapText="1"/>
    </xf>
    <xf numFmtId="167" fontId="0" fillId="0" borderId="0" xfId="0" applyNumberFormat="1" applyAlignment="1">
      <alignment wrapText="1"/>
    </xf>
    <xf numFmtId="43" fontId="5" fillId="0" borderId="0" xfId="0" applyNumberFormat="1" applyFont="1" applyAlignment="1">
      <alignment wrapText="1"/>
    </xf>
    <xf numFmtId="3" fontId="27" fillId="7" borderId="0" xfId="0" applyNumberFormat="1" applyFont="1" applyFill="1"/>
    <xf numFmtId="0" fontId="26" fillId="11" borderId="21" xfId="0" applyFont="1" applyFill="1" applyBorder="1"/>
    <xf numFmtId="0" fontId="27" fillId="11" borderId="0" xfId="0" applyFont="1" applyFill="1"/>
    <xf numFmtId="0" fontId="0" fillId="11" borderId="0" xfId="0" applyFill="1"/>
    <xf numFmtId="166" fontId="27" fillId="11" borderId="0" xfId="4" applyNumberFormat="1" applyFont="1" applyFill="1" applyBorder="1"/>
    <xf numFmtId="166" fontId="27" fillId="11" borderId="22" xfId="4" applyNumberFormat="1" applyFont="1" applyFill="1" applyBorder="1"/>
    <xf numFmtId="0" fontId="26" fillId="0" borderId="23" xfId="0" applyFont="1" applyBorder="1"/>
    <xf numFmtId="166" fontId="27" fillId="0" borderId="0" xfId="4" applyNumberFormat="1" applyFont="1" applyFill="1" applyBorder="1"/>
    <xf numFmtId="166" fontId="27" fillId="0" borderId="24" xfId="4" applyNumberFormat="1" applyFont="1" applyFill="1" applyBorder="1"/>
    <xf numFmtId="0" fontId="27" fillId="12" borderId="0" xfId="0" applyFont="1" applyFill="1" applyAlignment="1">
      <alignment wrapText="1"/>
    </xf>
    <xf numFmtId="0" fontId="28" fillId="12" borderId="0" xfId="0" applyFont="1" applyFill="1"/>
    <xf numFmtId="0" fontId="0" fillId="12" borderId="0" xfId="0" applyFill="1"/>
    <xf numFmtId="0" fontId="17" fillId="0" borderId="0" xfId="0" applyFont="1" applyAlignment="1">
      <alignment vertical="center" wrapText="1"/>
    </xf>
    <xf numFmtId="164" fontId="30" fillId="0" borderId="2" xfId="1" applyNumberFormat="1" applyFont="1" applyBorder="1" applyAlignment="1">
      <alignment wrapText="1"/>
    </xf>
    <xf numFmtId="0" fontId="0" fillId="0" borderId="0" xfId="0" applyFont="1" applyAlignment="1">
      <alignment vertical="center" wrapText="1"/>
    </xf>
    <xf numFmtId="0" fontId="31" fillId="0" borderId="0" xfId="5" applyFont="1"/>
    <xf numFmtId="0" fontId="0" fillId="0" borderId="0" xfId="0" applyFont="1"/>
    <xf numFmtId="0" fontId="12" fillId="7" borderId="6" xfId="0" applyFont="1" applyFill="1" applyBorder="1" applyAlignment="1">
      <alignment horizontal="left" wrapText="1"/>
    </xf>
    <xf numFmtId="0" fontId="0" fillId="12" borderId="2" xfId="0" applyFill="1" applyBorder="1" applyAlignment="1">
      <alignment wrapText="1"/>
    </xf>
    <xf numFmtId="0" fontId="20" fillId="0" borderId="4" xfId="0" applyFont="1" applyBorder="1" applyAlignment="1">
      <alignment horizontal="left" wrapText="1" indent="1"/>
    </xf>
    <xf numFmtId="0" fontId="30" fillId="0" borderId="4" xfId="0" applyFont="1" applyBorder="1" applyAlignment="1">
      <alignment horizontal="left" wrapText="1" indent="1"/>
    </xf>
    <xf numFmtId="0" fontId="38" fillId="0" borderId="4" xfId="0" applyFont="1" applyBorder="1" applyAlignment="1">
      <alignment horizontal="left" wrapText="1" indent="1"/>
    </xf>
    <xf numFmtId="164" fontId="38" fillId="0" borderId="2" xfId="1" applyNumberFormat="1" applyFont="1" applyBorder="1" applyAlignment="1">
      <alignment wrapText="1"/>
    </xf>
    <xf numFmtId="44" fontId="17" fillId="0" borderId="0" xfId="1" applyFont="1"/>
    <xf numFmtId="0" fontId="4" fillId="0" borderId="0" xfId="0" applyFont="1"/>
    <xf numFmtId="0" fontId="11" fillId="0" borderId="0" xfId="0" applyFont="1"/>
    <xf numFmtId="165" fontId="7" fillId="3" borderId="0" xfId="0" applyNumberFormat="1" applyFont="1" applyFill="1"/>
    <xf numFmtId="0" fontId="0" fillId="3" borderId="0" xfId="0" applyFill="1"/>
    <xf numFmtId="0" fontId="7" fillId="3" borderId="0" xfId="0" applyFont="1" applyFill="1"/>
    <xf numFmtId="0" fontId="17" fillId="0" borderId="0" xfId="0" applyFont="1" applyAlignment="1">
      <alignment horizontal="center" vertical="center" wrapText="1"/>
    </xf>
    <xf numFmtId="0" fontId="17" fillId="0" borderId="0" xfId="0" applyFont="1"/>
    <xf numFmtId="44" fontId="1" fillId="0" borderId="0" xfId="1" applyFont="1"/>
    <xf numFmtId="164" fontId="17" fillId="0" borderId="0" xfId="1" applyNumberFormat="1" applyFont="1"/>
    <xf numFmtId="0" fontId="11" fillId="0" borderId="0" xfId="0" applyFont="1" applyAlignment="1">
      <alignment vertical="top"/>
    </xf>
    <xf numFmtId="0" fontId="0" fillId="3" borderId="0" xfId="0" applyFill="1" applyAlignment="1">
      <alignment vertical="top" wrapText="1"/>
    </xf>
    <xf numFmtId="0" fontId="0" fillId="3" borderId="0" xfId="0" applyFill="1" applyAlignment="1">
      <alignment vertical="top"/>
    </xf>
    <xf numFmtId="165" fontId="7" fillId="3" borderId="0" xfId="0" applyNumberFormat="1" applyFont="1" applyFill="1" applyAlignment="1">
      <alignment horizontal="left" vertical="top"/>
    </xf>
    <xf numFmtId="0" fontId="26" fillId="2" borderId="16" xfId="0" applyFont="1" applyFill="1" applyBorder="1" applyAlignment="1">
      <alignment horizontal="center" vertical="center" wrapText="1"/>
    </xf>
    <xf numFmtId="0" fontId="7" fillId="0" borderId="0" xfId="0" applyFont="1" applyAlignment="1">
      <alignment wrapText="1"/>
    </xf>
    <xf numFmtId="0" fontId="27" fillId="12" borderId="14" xfId="0" applyFont="1" applyFill="1" applyBorder="1" applyAlignment="1">
      <alignment wrapText="1"/>
    </xf>
    <xf numFmtId="0" fontId="40" fillId="0" borderId="0" xfId="0" applyFont="1" applyAlignment="1">
      <alignment horizontal="left" vertical="center" wrapText="1"/>
    </xf>
    <xf numFmtId="44" fontId="22" fillId="0" borderId="0" xfId="1" applyFont="1" applyAlignment="1">
      <alignment wrapText="1"/>
    </xf>
    <xf numFmtId="0" fontId="4" fillId="0" borderId="0" xfId="0" applyFont="1"/>
    <xf numFmtId="0" fontId="11" fillId="0" borderId="0" xfId="0" applyFont="1" applyAlignment="1">
      <alignment vertical="top"/>
    </xf>
    <xf numFmtId="0" fontId="11" fillId="0" borderId="0" xfId="0" applyFont="1"/>
    <xf numFmtId="165" fontId="7" fillId="3" borderId="0" xfId="0" applyNumberFormat="1" applyFont="1" applyFill="1" applyAlignment="1">
      <alignment vertical="top" wrapText="1"/>
    </xf>
    <xf numFmtId="165" fontId="7" fillId="3" borderId="0" xfId="0" applyNumberFormat="1" applyFont="1" applyFill="1"/>
    <xf numFmtId="0" fontId="0" fillId="3" borderId="0" xfId="0" applyFill="1" applyAlignment="1">
      <alignment vertical="top" wrapText="1"/>
    </xf>
    <xf numFmtId="0" fontId="0" fillId="3" borderId="0" xfId="0" applyFill="1" applyAlignment="1">
      <alignment vertical="top"/>
    </xf>
    <xf numFmtId="0" fontId="5" fillId="0" borderId="0" xfId="0" applyFont="1" applyAlignment="1">
      <alignment vertical="top" wrapText="1"/>
    </xf>
    <xf numFmtId="0" fontId="0" fillId="0" borderId="0" xfId="0" applyAlignment="1">
      <alignment vertical="top" wrapText="1"/>
    </xf>
    <xf numFmtId="0" fontId="7" fillId="3" borderId="0" xfId="0" applyFont="1" applyFill="1" applyAlignment="1">
      <alignment horizontal="center"/>
    </xf>
    <xf numFmtId="0" fontId="0" fillId="3" borderId="0" xfId="0" applyFill="1"/>
    <xf numFmtId="0" fontId="7" fillId="3" borderId="0" xfId="0" applyFont="1" applyFill="1"/>
    <xf numFmtId="165" fontId="7" fillId="3" borderId="0" xfId="0" applyNumberFormat="1" applyFont="1" applyFill="1" applyAlignment="1">
      <alignment horizontal="left" vertical="top"/>
    </xf>
    <xf numFmtId="0" fontId="0" fillId="3" borderId="0" xfId="0" applyFill="1" applyAlignment="1">
      <alignment wrapText="1"/>
    </xf>
    <xf numFmtId="0" fontId="8" fillId="3" borderId="0" xfId="0" applyFont="1" applyFill="1" applyAlignment="1">
      <alignment vertical="top" wrapText="1"/>
    </xf>
    <xf numFmtId="0" fontId="5" fillId="3" borderId="0" xfId="0" applyFont="1" applyFill="1" applyAlignment="1">
      <alignment vertical="top" wrapText="1"/>
    </xf>
    <xf numFmtId="165" fontId="7" fillId="3" borderId="0" xfId="0" applyNumberFormat="1" applyFont="1" applyFill="1" applyAlignment="1">
      <alignment horizontal="left"/>
    </xf>
    <xf numFmtId="0" fontId="7" fillId="3" borderId="0" xfId="0" applyFont="1" applyFill="1" applyAlignment="1">
      <alignment vertical="top" wrapText="1"/>
    </xf>
    <xf numFmtId="0" fontId="2" fillId="2" borderId="0" xfId="0" applyFont="1" applyFill="1" applyAlignment="1" applyProtection="1">
      <alignment vertical="top"/>
      <protection locked="0"/>
    </xf>
    <xf numFmtId="0" fontId="7" fillId="3" borderId="1" xfId="0" applyFont="1" applyFill="1" applyBorder="1"/>
    <xf numFmtId="0" fontId="25" fillId="8" borderId="13" xfId="0" applyFont="1" applyFill="1" applyBorder="1" applyAlignment="1">
      <alignment horizontal="center" vertical="center" wrapText="1"/>
    </xf>
    <xf numFmtId="0" fontId="0" fillId="0" borderId="14" xfId="0" applyBorder="1"/>
    <xf numFmtId="0" fontId="0" fillId="0" borderId="15" xfId="0" applyBorder="1"/>
    <xf numFmtId="0" fontId="26" fillId="0" borderId="13" xfId="0" applyFont="1" applyBorder="1" applyAlignment="1">
      <alignment horizontal="left" vertical="center" wrapText="1"/>
    </xf>
    <xf numFmtId="0" fontId="27" fillId="0" borderId="14" xfId="0" applyFont="1" applyBorder="1" applyAlignment="1">
      <alignment wrapText="1"/>
    </xf>
    <xf numFmtId="0" fontId="27" fillId="0" borderId="15" xfId="0" applyFont="1" applyBorder="1" applyAlignment="1">
      <alignment wrapText="1"/>
    </xf>
    <xf numFmtId="0" fontId="27" fillId="0" borderId="25" xfId="0" applyFont="1" applyBorder="1" applyAlignment="1">
      <alignment wrapText="1"/>
    </xf>
    <xf numFmtId="0" fontId="27" fillId="0" borderId="26" xfId="0" applyFont="1" applyBorder="1" applyAlignment="1">
      <alignment wrapText="1"/>
    </xf>
    <xf numFmtId="0" fontId="27" fillId="0" borderId="24" xfId="0" applyFont="1" applyBorder="1" applyAlignment="1">
      <alignment wrapText="1"/>
    </xf>
    <xf numFmtId="0" fontId="41" fillId="0" borderId="0" xfId="0" applyFont="1" applyAlignment="1">
      <alignment horizontal="center" vertical="center" wrapText="1"/>
    </xf>
    <xf numFmtId="0" fontId="0" fillId="0" borderId="0" xfId="0" applyFont="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horizontal="center" wrapText="1"/>
    </xf>
    <xf numFmtId="0" fontId="29" fillId="0" borderId="0" xfId="0" applyFont="1" applyAlignment="1">
      <alignment horizontal="center" wrapText="1"/>
    </xf>
  </cellXfs>
  <cellStyles count="8">
    <cellStyle name="Comma" xfId="4" builtinId="3"/>
    <cellStyle name="Currency" xfId="1" builtinId="4"/>
    <cellStyle name="Currency 2" xfId="7" xr:uid="{F7C9ED62-DD45-4AAE-9FF9-8005565B9F79}"/>
    <cellStyle name="Good" xfId="2" builtinId="26"/>
    <cellStyle name="Hyperlink" xfId="5" builtinId="8"/>
    <cellStyle name="Neutral 2" xfId="3" xr:uid="{2D25B18E-6045-452D-9D88-194EBAE5D3E2}"/>
    <cellStyle name="Normal" xfId="0" builtinId="0"/>
    <cellStyle name="Normal 4" xfId="6" xr:uid="{16F083C6-4FE9-49A3-BBDA-670285F832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OPEPD\Budget%20Service\SHARED\SERRAPAD\IDEA%20Formula%20Allocations\Part%20B%20611\Grants%20to%20States%20(611)%20Formul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nne.b.wong/Downloads/Part%20B%20Interactive%20Spreadsheet%20for%20FFY%202022-sfy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199693289</v>
          </cell>
          <cell r="X2">
            <v>205363901</v>
          </cell>
          <cell r="Y2">
            <v>249495514</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41003214</v>
          </cell>
          <cell r="X3">
            <v>42433454</v>
          </cell>
          <cell r="Y3">
            <v>52075667</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232368870</v>
          </cell>
          <cell r="X4">
            <v>236823175</v>
          </cell>
          <cell r="Y4">
            <v>289799014</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122997964</v>
          </cell>
          <cell r="X5">
            <v>128802168</v>
          </cell>
          <cell r="Y5">
            <v>158144691</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1343641173</v>
          </cell>
          <cell r="X6">
            <v>1376833029</v>
          </cell>
          <cell r="Y6">
            <v>1674227516</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178699529</v>
          </cell>
          <cell r="X7">
            <v>185743767</v>
          </cell>
          <cell r="Y7">
            <v>227646895</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146277432</v>
          </cell>
          <cell r="X8">
            <v>150483198</v>
          </cell>
          <cell r="Y8">
            <v>180852791</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39980526</v>
          </cell>
          <cell r="X9">
            <v>41355415</v>
          </cell>
          <cell r="Y9">
            <v>50704435</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21653981</v>
          </cell>
          <cell r="X10">
            <v>22045155</v>
          </cell>
          <cell r="Y10">
            <v>26986597</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710614415</v>
          </cell>
          <cell r="X11">
            <v>744781000</v>
          </cell>
          <cell r="Y11">
            <v>914776771</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385556588</v>
          </cell>
          <cell r="X12">
            <v>399980951</v>
          </cell>
          <cell r="Y12">
            <v>489913816</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43735545</v>
          </cell>
          <cell r="X13">
            <v>45725633</v>
          </cell>
          <cell r="Y13">
            <v>55728075</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63642931</v>
          </cell>
          <cell r="X14">
            <v>65862888</v>
          </cell>
          <cell r="Y14">
            <v>80751888</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556358794</v>
          </cell>
          <cell r="X15">
            <v>570895141</v>
          </cell>
          <cell r="Y15">
            <v>685734410</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284432131</v>
          </cell>
          <cell r="X16">
            <v>299168395</v>
          </cell>
          <cell r="Y16">
            <v>367859884</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134348721</v>
          </cell>
          <cell r="X17">
            <v>138299843</v>
          </cell>
          <cell r="Y17">
            <v>166200002</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117332053</v>
          </cell>
          <cell r="X18">
            <v>123140183</v>
          </cell>
          <cell r="Y18">
            <v>151333527</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173734021</v>
          </cell>
          <cell r="X19">
            <v>182530187</v>
          </cell>
          <cell r="Y19">
            <v>224377805</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207255173</v>
          </cell>
          <cell r="X20">
            <v>213536588</v>
          </cell>
          <cell r="Y20">
            <v>261098707</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60216280</v>
          </cell>
          <cell r="X21">
            <v>61939291</v>
          </cell>
          <cell r="Y21">
            <v>74492304</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220000705</v>
          </cell>
          <cell r="X22">
            <v>230642032</v>
          </cell>
          <cell r="Y22">
            <v>280421634</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312386626</v>
          </cell>
          <cell r="X23">
            <v>321458477</v>
          </cell>
          <cell r="Y23">
            <v>386446982</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439032894</v>
          </cell>
          <cell r="X24">
            <v>448732737</v>
          </cell>
          <cell r="Y24">
            <v>538394404</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208591694</v>
          </cell>
          <cell r="X25">
            <v>219225415</v>
          </cell>
          <cell r="Y25">
            <v>269506487</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131678131</v>
          </cell>
          <cell r="X26">
            <v>134593667</v>
          </cell>
          <cell r="Y26">
            <v>163407374</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249941500</v>
          </cell>
          <cell r="X27">
            <v>257238445</v>
          </cell>
          <cell r="Y27">
            <v>309109043</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41753461</v>
          </cell>
          <cell r="X28">
            <v>43199227</v>
          </cell>
          <cell r="Y28">
            <v>52825914</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82171632</v>
          </cell>
          <cell r="X29">
            <v>84647683</v>
          </cell>
          <cell r="Y29">
            <v>102499989</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88396108</v>
          </cell>
          <cell r="X30">
            <v>90057084</v>
          </cell>
          <cell r="Y30">
            <v>110164970</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52218686</v>
          </cell>
          <cell r="X31">
            <v>53725669</v>
          </cell>
          <cell r="Y31">
            <v>64583157</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397771282</v>
          </cell>
          <cell r="X32">
            <v>409321022</v>
          </cell>
          <cell r="Y32">
            <v>492074559</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100233260</v>
          </cell>
          <cell r="X33">
            <v>103068305</v>
          </cell>
          <cell r="Y33">
            <v>123832269</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834731160</v>
          </cell>
          <cell r="X34">
            <v>857863238</v>
          </cell>
          <cell r="Y34">
            <v>1030889058</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376931361</v>
          </cell>
          <cell r="X35">
            <v>392724284</v>
          </cell>
          <cell r="Y35">
            <v>481608933</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34969508</v>
          </cell>
          <cell r="X36">
            <v>35570035</v>
          </cell>
          <cell r="Y36">
            <v>43581273</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479921418</v>
          </cell>
          <cell r="X37">
            <v>493497272</v>
          </cell>
          <cell r="Y37">
            <v>600089218</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163861191</v>
          </cell>
          <cell r="X38">
            <v>171831887</v>
          </cell>
          <cell r="Y38">
            <v>211080731</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141558471</v>
          </cell>
          <cell r="X39">
            <v>148491349</v>
          </cell>
          <cell r="Y39">
            <v>182457693</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468473902</v>
          </cell>
          <cell r="X40">
            <v>482113285</v>
          </cell>
          <cell r="Y40">
            <v>585305592</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48123418</v>
          </cell>
          <cell r="X41">
            <v>49513817</v>
          </cell>
          <cell r="Y41">
            <v>59532478</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194609054</v>
          </cell>
          <cell r="X42">
            <v>204524498</v>
          </cell>
          <cell r="Y42">
            <v>251437571</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39613355</v>
          </cell>
          <cell r="X43">
            <v>40923932</v>
          </cell>
          <cell r="Y43">
            <v>50154692</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261349023</v>
          </cell>
          <cell r="X44">
            <v>274069055</v>
          </cell>
          <cell r="Y44">
            <v>336705532</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1142996395</v>
          </cell>
          <cell r="X45">
            <v>1148648094</v>
          </cell>
          <cell r="Y45">
            <v>1453587223</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130910361</v>
          </cell>
          <cell r="X46">
            <v>134026539</v>
          </cell>
          <cell r="Y46">
            <v>164244780</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33717283</v>
          </cell>
          <cell r="X47">
            <v>34278414</v>
          </cell>
          <cell r="Y47">
            <v>42020668</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312492610</v>
          </cell>
          <cell r="X48">
            <v>327747822</v>
          </cell>
          <cell r="Y48">
            <v>402665112</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244172280</v>
          </cell>
          <cell r="X49">
            <v>255327572</v>
          </cell>
          <cell r="Y49">
            <v>313416568</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83574607</v>
          </cell>
          <cell r="X50">
            <v>85993211</v>
          </cell>
          <cell r="Y50">
            <v>103388405</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228755544</v>
          </cell>
          <cell r="X51">
            <v>234878637</v>
          </cell>
          <cell r="Y51">
            <v>282087258</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35372772</v>
          </cell>
          <cell r="X52">
            <v>35956920</v>
          </cell>
          <cell r="Y52">
            <v>44083846</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6965016</v>
          </cell>
          <cell r="X53">
            <v>7035807</v>
          </cell>
          <cell r="Y53">
            <v>8333320</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16960627</v>
          </cell>
          <cell r="X54">
            <v>17234421</v>
          </cell>
          <cell r="Y54">
            <v>20412716</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5288333</v>
          </cell>
          <cell r="X55">
            <v>5342083</v>
          </cell>
          <cell r="Y55">
            <v>6327246</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134007520</v>
          </cell>
          <cell r="X56">
            <v>138986097</v>
          </cell>
          <cell r="Y56">
            <v>170283484</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8798265</v>
          </cell>
          <cell r="X57">
            <v>8887689</v>
          </cell>
          <cell r="Y57">
            <v>10526718</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cell r="X58">
            <v>6579306</v>
          </cell>
          <cell r="Y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cell r="X59">
            <v>100005611</v>
          </cell>
          <cell r="Y59">
            <v>102926488</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15000000</v>
          </cell>
          <cell r="X60">
            <v>20000000</v>
          </cell>
          <cell r="Y60">
            <v>20000000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cell r="X61">
            <v>0</v>
          </cell>
          <cell r="Y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12937457000</v>
          </cell>
          <cell r="X62">
            <v>13343704000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cell r="T3">
            <v>2022</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4234491</v>
          </cell>
          <cell r="T4">
            <v>4498627</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1125890</v>
          </cell>
          <cell r="T5">
            <v>1196120</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3438845</v>
          </cell>
          <cell r="T6">
            <v>3653350</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2403400</v>
          </cell>
          <cell r="T7">
            <v>2553317</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25310588</v>
          </cell>
          <cell r="T8">
            <v>26889396</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3097020</v>
          </cell>
          <cell r="T9">
            <v>3290204</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3313895</v>
          </cell>
          <cell r="T10">
            <v>3520608</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1125890</v>
          </cell>
          <cell r="T11">
            <v>1196120</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1125890</v>
          </cell>
          <cell r="T12">
            <v>1196120</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13990721</v>
          </cell>
          <cell r="T13">
            <v>14863424</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6116374</v>
          </cell>
          <cell r="T14">
            <v>6497898</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1125890</v>
          </cell>
          <cell r="T15">
            <v>1196120</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1125890</v>
          </cell>
          <cell r="T16">
            <v>1196120</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11463845</v>
          </cell>
          <cell r="T17">
            <v>12178930</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5993460</v>
          </cell>
          <cell r="T18">
            <v>6367316</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2948276</v>
          </cell>
          <cell r="T19">
            <v>3132182</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2399023</v>
          </cell>
          <cell r="T20">
            <v>2548668</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3685585</v>
          </cell>
          <cell r="T21">
            <v>3915482</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4020779</v>
          </cell>
          <cell r="T22">
            <v>4271585</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1411250</v>
          </cell>
          <cell r="T23">
            <v>1499280</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4534709</v>
          </cell>
          <cell r="T24">
            <v>4817572</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6892124</v>
          </cell>
          <cell r="T25">
            <v>7322036</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8388582</v>
          </cell>
          <cell r="T26">
            <v>8911839</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4387091</v>
          </cell>
          <cell r="T27">
            <v>4660746</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2836726</v>
          </cell>
          <cell r="T28">
            <v>3013673</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5445118</v>
          </cell>
          <cell r="T29">
            <v>5784770</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1125890</v>
          </cell>
          <cell r="T30">
            <v>1196120</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1728371</v>
          </cell>
          <cell r="T31">
            <v>1836183</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1299000</v>
          </cell>
          <cell r="T32">
            <v>1380028</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1145054</v>
          </cell>
          <cell r="T33">
            <v>1216480</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8771928</v>
          </cell>
          <cell r="T34">
            <v>9319098</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2129055</v>
          </cell>
          <cell r="T35">
            <v>2261860</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17889104</v>
          </cell>
          <cell r="T36">
            <v>19004979</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6658605</v>
          </cell>
          <cell r="T37">
            <v>7073951</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1125890</v>
          </cell>
          <cell r="T38">
            <v>1196120</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9793072</v>
          </cell>
          <cell r="T39">
            <v>10403937</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3197655</v>
          </cell>
          <cell r="T40">
            <v>3397117</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2762778</v>
          </cell>
          <cell r="T41">
            <v>2935113</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9337605</v>
          </cell>
          <cell r="T42">
            <v>9920060</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1125890</v>
          </cell>
          <cell r="T43">
            <v>1196120</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3933620</v>
          </cell>
          <cell r="T44">
            <v>4178990</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1125890</v>
          </cell>
          <cell r="T45">
            <v>1196120</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5433330</v>
          </cell>
          <cell r="T46">
            <v>5772247</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20004707</v>
          </cell>
          <cell r="T47">
            <v>21252548</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2335009</v>
          </cell>
          <cell r="T48">
            <v>2480661</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1125890</v>
          </cell>
          <cell r="T49">
            <v>1196120</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6266722</v>
          </cell>
          <cell r="T50">
            <v>6657624</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4638161</v>
          </cell>
          <cell r="T51">
            <v>4927477</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1965661</v>
          </cell>
          <cell r="T52">
            <v>2088274</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4784782</v>
          </cell>
          <cell r="T53">
            <v>5083245</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1125890</v>
          </cell>
          <cell r="T54">
            <v>1196120</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348250.80000000005</v>
          </cell>
          <cell r="T55">
            <v>351790.35000000003</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848031.35000000009</v>
          </cell>
          <cell r="T56">
            <v>861721.05</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264416.65000000002</v>
          </cell>
          <cell r="T57">
            <v>267104.15000000002</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1996259</v>
          </cell>
          <cell r="T58">
            <v>2120780</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439913.25</v>
          </cell>
          <cell r="T59">
            <v>444384.45</v>
          </cell>
        </row>
        <row r="60">
          <cell r="A60" t="str">
            <v>Freely Associated States</v>
          </cell>
          <cell r="O60">
            <v>0</v>
          </cell>
          <cell r="P60">
            <v>0</v>
          </cell>
          <cell r="Q60">
            <v>0</v>
          </cell>
          <cell r="R60">
            <v>0</v>
          </cell>
          <cell r="S60">
            <v>0</v>
          </cell>
          <cell r="T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cell r="T61">
            <v>4000224.4400000009</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cell r="BN2" t="str">
            <v>2022 RPLA</v>
          </cell>
          <cell r="BO2" t="str">
            <v>2022 RPHA</v>
          </cell>
          <cell r="BP2" t="str">
            <v>2022 LA</v>
          </cell>
          <cell r="BQ2" t="str">
            <v>2022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19377602.325100854</v>
          </cell>
          <cell r="BJ5">
            <v>23006003.477000643</v>
          </cell>
          <cell r="BK5">
            <v>21910479.501905382</v>
          </cell>
          <cell r="BL5">
            <v>20814955.526810106</v>
          </cell>
          <cell r="BM5">
            <v>19568858.882054359</v>
          </cell>
          <cell r="BN5">
            <v>24441057.009571292</v>
          </cell>
          <cell r="BO5">
            <v>23277197.15197267</v>
          </cell>
          <cell r="BP5">
            <v>22113337.29437403</v>
          </cell>
          <cell r="BQ5">
            <v>20829669.80139346</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3751218.6677782224</v>
          </cell>
          <cell r="BJ6">
            <v>4453623.7386864796</v>
          </cell>
          <cell r="BK6">
            <v>4241546.4177966481</v>
          </cell>
          <cell r="BL6">
            <v>4029469.0969068152</v>
          </cell>
          <cell r="BM6">
            <v>3788243.1228548773</v>
          </cell>
          <cell r="BN6">
            <v>4731428.9857095834</v>
          </cell>
          <cell r="BO6">
            <v>4506122.8435329376</v>
          </cell>
          <cell r="BP6">
            <v>4280816.7013562908</v>
          </cell>
          <cell r="BQ6">
            <v>4032317.5639448869</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18764141.709755111</v>
          </cell>
          <cell r="BJ7">
            <v>22277674.098945163</v>
          </cell>
          <cell r="BK7">
            <v>21216832.475185867</v>
          </cell>
          <cell r="BL7">
            <v>20155990.851426568</v>
          </cell>
          <cell r="BM7">
            <v>18949343.422401816</v>
          </cell>
          <cell r="BN7">
            <v>23667296.374935403</v>
          </cell>
          <cell r="BO7">
            <v>22540282.261843238</v>
          </cell>
          <cell r="BP7">
            <v>21413268.148751069</v>
          </cell>
          <cell r="BQ7">
            <v>20170239.298102599</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11952502.682882151</v>
          </cell>
          <cell r="BJ8">
            <v>14190574.956998192</v>
          </cell>
          <cell r="BK8">
            <v>13514833.292379234</v>
          </cell>
          <cell r="BL8">
            <v>12839091.627760272</v>
          </cell>
          <cell r="BM8">
            <v>12070473.651206978</v>
          </cell>
          <cell r="BN8">
            <v>15075745.418769497</v>
          </cell>
          <cell r="BO8">
            <v>14357852.779780475</v>
          </cell>
          <cell r="BP8">
            <v>13639960.140791453</v>
          </cell>
          <cell r="BQ8">
            <v>12848167.694214916</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130730279.67131115</v>
          </cell>
          <cell r="BJ9">
            <v>155209154.27042106</v>
          </cell>
          <cell r="BK9">
            <v>147818242.16230589</v>
          </cell>
          <cell r="BL9">
            <v>140427330.05419055</v>
          </cell>
          <cell r="BM9">
            <v>132020584.98153605</v>
          </cell>
          <cell r="BN9">
            <v>164890690.02024135</v>
          </cell>
          <cell r="BO9">
            <v>157038752.40022999</v>
          </cell>
          <cell r="BP9">
            <v>149186814.78021839</v>
          </cell>
          <cell r="BQ9">
            <v>140526599.36518016</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15892062.198998</v>
          </cell>
          <cell r="BJ10">
            <v>18867805.834432904</v>
          </cell>
          <cell r="BK10">
            <v>17969338.889936093</v>
          </cell>
          <cell r="BL10">
            <v>17070871.945439287</v>
          </cell>
          <cell r="BM10">
            <v>16048916.542898646</v>
          </cell>
          <cell r="BN10">
            <v>20044729.563998912</v>
          </cell>
          <cell r="BO10">
            <v>19090218.632379908</v>
          </cell>
          <cell r="BP10">
            <v>18135707.700760912</v>
          </cell>
          <cell r="BQ10">
            <v>17082939.494507991</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14168043.963854665</v>
          </cell>
          <cell r="BJ11">
            <v>16820970.067721818</v>
          </cell>
          <cell r="BK11">
            <v>16019971.493068403</v>
          </cell>
          <cell r="BL11">
            <v>15218972.918414984</v>
          </cell>
          <cell r="BM11">
            <v>14307882.281404546</v>
          </cell>
          <cell r="BN11">
            <v>17870217.606134191</v>
          </cell>
          <cell r="BO11">
            <v>17019254.862984948</v>
          </cell>
          <cell r="BP11">
            <v>16168292.119835703</v>
          </cell>
          <cell r="BQ11">
            <v>15229731.343822613</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3437981.4974373826</v>
          </cell>
          <cell r="BJ12">
            <v>4081733.7953856788</v>
          </cell>
          <cell r="BK12">
            <v>3887365.5194149325</v>
          </cell>
          <cell r="BL12">
            <v>3692997.2434441852</v>
          </cell>
          <cell r="BM12">
            <v>3471914.3077530321</v>
          </cell>
          <cell r="BN12">
            <v>4336341.5332284141</v>
          </cell>
          <cell r="BO12">
            <v>4129849.0792651572</v>
          </cell>
          <cell r="BP12">
            <v>3923356.625301898</v>
          </cell>
          <cell r="BQ12">
            <v>3695607.8555786032</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1728627.2122939625</v>
          </cell>
          <cell r="BJ13">
            <v>2052307.7617790783</v>
          </cell>
          <cell r="BK13">
            <v>1954578.8207419803</v>
          </cell>
          <cell r="BL13">
            <v>1856849.879704881</v>
          </cell>
          <cell r="BM13">
            <v>1745688.7291592984</v>
          </cell>
          <cell r="BN13">
            <v>2180325.2814846435</v>
          </cell>
          <cell r="BO13">
            <v>2076500.2680806143</v>
          </cell>
          <cell r="BP13">
            <v>1972675.2546765832</v>
          </cell>
          <cell r="BQ13">
            <v>1858162.5031671256</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67097514.095973887</v>
          </cell>
          <cell r="BJ14">
            <v>79661333.569143727</v>
          </cell>
          <cell r="BK14">
            <v>75867936.732517809</v>
          </cell>
          <cell r="BL14">
            <v>72074539.895891935</v>
          </cell>
          <cell r="BM14">
            <v>67759765.251242578</v>
          </cell>
          <cell r="BN14">
            <v>84630396.460139722</v>
          </cell>
          <cell r="BO14">
            <v>80600377.581085429</v>
          </cell>
          <cell r="BP14">
            <v>76570358.70203118</v>
          </cell>
          <cell r="BQ14">
            <v>72125490.020149082</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32987089.397231735</v>
          </cell>
          <cell r="BJ15">
            <v>39163828.457032531</v>
          </cell>
          <cell r="BK15">
            <v>37298884.244792864</v>
          </cell>
          <cell r="BL15">
            <v>35433940.032553218</v>
          </cell>
          <cell r="BM15">
            <v>33312671.326109473</v>
          </cell>
          <cell r="BN15">
            <v>41606764.294734269</v>
          </cell>
          <cell r="BO15">
            <v>39625489.804508798</v>
          </cell>
          <cell r="BP15">
            <v>37644215.314283356</v>
          </cell>
          <cell r="BQ15">
            <v>35458988.595474139</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4254017.5937767392</v>
          </cell>
          <cell r="BJ16">
            <v>5050570.3394932337</v>
          </cell>
          <cell r="BK16">
            <v>4810066.9899935583</v>
          </cell>
          <cell r="BL16">
            <v>4569563.6404938791</v>
          </cell>
          <cell r="BM16">
            <v>4296004.6644449951</v>
          </cell>
          <cell r="BN16">
            <v>5365611.5336072864</v>
          </cell>
          <cell r="BO16">
            <v>5110106.222483132</v>
          </cell>
          <cell r="BP16">
            <v>4854600.9113589739</v>
          </cell>
          <cell r="BQ16">
            <v>4572793.9051007768</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5783929.7133425958</v>
          </cell>
          <cell r="BJ17">
            <v>6866954.1702546254</v>
          </cell>
          <cell r="BK17">
            <v>6539956.3526234534</v>
          </cell>
          <cell r="BL17">
            <v>6212958.5349922795</v>
          </cell>
          <cell r="BM17">
            <v>5841016.9867872596</v>
          </cell>
          <cell r="BN17">
            <v>7295296.5744395275</v>
          </cell>
          <cell r="BO17">
            <v>6947901.4994662181</v>
          </cell>
          <cell r="BP17">
            <v>6600506.4244929049</v>
          </cell>
          <cell r="BQ17">
            <v>6217350.5298606418</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53965166.320329696</v>
          </cell>
          <cell r="BJ18">
            <v>64069990.867456838</v>
          </cell>
          <cell r="BK18">
            <v>61019038.921387486</v>
          </cell>
          <cell r="BL18">
            <v>57968086.975318104</v>
          </cell>
          <cell r="BM18">
            <v>54497801.459223017</v>
          </cell>
          <cell r="BN18">
            <v>68066507.116705894</v>
          </cell>
          <cell r="BO18">
            <v>64825244.87305326</v>
          </cell>
          <cell r="BP18">
            <v>61583982.629400589</v>
          </cell>
          <cell r="BQ18">
            <v>58009065.124309525</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27250207.616801921</v>
          </cell>
          <cell r="BJ19">
            <v>32352731.81187401</v>
          </cell>
          <cell r="BK19">
            <v>30812125.535118103</v>
          </cell>
          <cell r="BL19">
            <v>29271519.258362204</v>
          </cell>
          <cell r="BM19">
            <v>27519166.634415086</v>
          </cell>
          <cell r="BN19">
            <v>34370809.489787742</v>
          </cell>
          <cell r="BO19">
            <v>32734104.275988325</v>
          </cell>
          <cell r="BP19">
            <v>31097399.062188912</v>
          </cell>
          <cell r="BQ19">
            <v>29292211.552001018</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13009175.889865218</v>
          </cell>
          <cell r="BJ20">
            <v>15445107.229157381</v>
          </cell>
          <cell r="BK20">
            <v>14709625.932530841</v>
          </cell>
          <cell r="BL20">
            <v>13974144.635904297</v>
          </cell>
          <cell r="BM20">
            <v>13137576.202130644</v>
          </cell>
          <cell r="BN20">
            <v>16408532.089641862</v>
          </cell>
          <cell r="BO20">
            <v>15627173.418706536</v>
          </cell>
          <cell r="BP20">
            <v>14845814.747771211</v>
          </cell>
          <cell r="BQ20">
            <v>13984023.081283411</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11387133.93284905</v>
          </cell>
          <cell r="BJ21">
            <v>13519342.509823835</v>
          </cell>
          <cell r="BK21">
            <v>12875564.295070319</v>
          </cell>
          <cell r="BL21">
            <v>12231786.080316799</v>
          </cell>
          <cell r="BM21">
            <v>11499524.722639592</v>
          </cell>
          <cell r="BN21">
            <v>14362643.270260155</v>
          </cell>
          <cell r="BO21">
            <v>13678707.876438243</v>
          </cell>
          <cell r="BP21">
            <v>12994772.482616328</v>
          </cell>
          <cell r="BQ21">
            <v>12240432.83715464</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16819590.298761457</v>
          </cell>
          <cell r="BJ22">
            <v>19969010.943825234</v>
          </cell>
          <cell r="BK22">
            <v>19018105.660785936</v>
          </cell>
          <cell r="BL22">
            <v>18067200.377746642</v>
          </cell>
          <cell r="BM22">
            <v>16985599.326913651</v>
          </cell>
          <cell r="BN22">
            <v>21214624.92999744</v>
          </cell>
          <cell r="BO22">
            <v>20204404.695235658</v>
          </cell>
          <cell r="BP22">
            <v>19194184.460473876</v>
          </cell>
          <cell r="BQ22">
            <v>18079972.240120709</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20171907.727631949</v>
          </cell>
          <cell r="BJ23">
            <v>23949040.316432506</v>
          </cell>
          <cell r="BK23">
            <v>22808609.825173818</v>
          </cell>
          <cell r="BL23">
            <v>21668179.333915122</v>
          </cell>
          <cell r="BM23">
            <v>20371004.063414071</v>
          </cell>
          <cell r="BN23">
            <v>25442917.988064244</v>
          </cell>
          <cell r="BO23">
            <v>24231350.464823093</v>
          </cell>
          <cell r="BP23">
            <v>23019782.941581938</v>
          </cell>
          <cell r="BQ23">
            <v>21683496.759889446</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5830827.1424369058</v>
          </cell>
          <cell r="BJ24">
            <v>6922633.010118546</v>
          </cell>
          <cell r="BK24">
            <v>6592983.8191605201</v>
          </cell>
          <cell r="BL24">
            <v>6263334.6282024961</v>
          </cell>
          <cell r="BM24">
            <v>5888377.2925919108</v>
          </cell>
          <cell r="BN24">
            <v>7354448.5127890697</v>
          </cell>
          <cell r="BO24">
            <v>7004236.6788467327</v>
          </cell>
          <cell r="BP24">
            <v>6654024.8449043985</v>
          </cell>
          <cell r="BQ24">
            <v>6267762.2343728859</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21335664.51705214</v>
          </cell>
          <cell r="BJ25">
            <v>25330707.26854571</v>
          </cell>
          <cell r="BK25">
            <v>24124483.112900682</v>
          </cell>
          <cell r="BL25">
            <v>22918258.957255643</v>
          </cell>
          <cell r="BM25">
            <v>21546247.109644655</v>
          </cell>
          <cell r="BN25">
            <v>26910769.663328011</v>
          </cell>
          <cell r="BO25">
            <v>25629304.441264782</v>
          </cell>
          <cell r="BP25">
            <v>24347839.219201539</v>
          </cell>
          <cell r="BQ25">
            <v>22934460.075477369</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30248837.142056152</v>
          </cell>
          <cell r="BJ26">
            <v>35912846.222668462</v>
          </cell>
          <cell r="BK26">
            <v>34202710.688255668</v>
          </cell>
          <cell r="BL26">
            <v>32492575.153842881</v>
          </cell>
          <cell r="BM26">
            <v>30547392.574589878</v>
          </cell>
          <cell r="BN26">
            <v>38152994.403469577</v>
          </cell>
          <cell r="BO26">
            <v>36336185.146161489</v>
          </cell>
          <cell r="BP26">
            <v>34519375.888853408</v>
          </cell>
          <cell r="BQ26">
            <v>32515544.440138914</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42684565.972092636</v>
          </cell>
          <cell r="BJ27">
            <v>50677130.054226927</v>
          </cell>
          <cell r="BK27">
            <v>48263933.384978026</v>
          </cell>
          <cell r="BL27">
            <v>45850736.715729125</v>
          </cell>
          <cell r="BM27">
            <v>43105861.805597402</v>
          </cell>
          <cell r="BN27">
            <v>53838235.136105411</v>
          </cell>
          <cell r="BO27">
            <v>51274509.653433718</v>
          </cell>
          <cell r="BP27">
            <v>48710784.17076204</v>
          </cell>
          <cell r="BQ27">
            <v>45883149.003567837</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20227275.562491372</v>
          </cell>
          <cell r="BJ28">
            <v>24014775.621550187</v>
          </cell>
          <cell r="BK28">
            <v>22871214.877666861</v>
          </cell>
          <cell r="BL28">
            <v>21727654.133783516</v>
          </cell>
          <cell r="BM28">
            <v>20426918.377723508</v>
          </cell>
          <cell r="BN28">
            <v>25512753.687321141</v>
          </cell>
          <cell r="BO28">
            <v>24297860.654591579</v>
          </cell>
          <cell r="BP28">
            <v>23082967.621861994</v>
          </cell>
          <cell r="BQ28">
            <v>21743013.603015389</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12680991.910197426</v>
          </cell>
          <cell r="BJ29">
            <v>15055471.728817223</v>
          </cell>
          <cell r="BK29">
            <v>14338544.503635457</v>
          </cell>
          <cell r="BL29">
            <v>13621617.27845368</v>
          </cell>
          <cell r="BM29">
            <v>12806153.052985353</v>
          </cell>
          <cell r="BN29">
            <v>15994592.159297725</v>
          </cell>
          <cell r="BO29">
            <v>15232944.913616886</v>
          </cell>
          <cell r="BP29">
            <v>14471297.667936038</v>
          </cell>
          <cell r="BQ29">
            <v>13631246.519152587</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24205412.605754904</v>
          </cell>
          <cell r="BJ30">
            <v>28737807.55882727</v>
          </cell>
          <cell r="BK30">
            <v>27369340.532216452</v>
          </cell>
          <cell r="BL30">
            <v>26000873.505605623</v>
          </cell>
          <cell r="BM30">
            <v>24444319.55600328</v>
          </cell>
          <cell r="BN30">
            <v>30530395.841136239</v>
          </cell>
          <cell r="BO30">
            <v>29076567.467748802</v>
          </cell>
          <cell r="BP30">
            <v>27622739.094361354</v>
          </cell>
          <cell r="BQ30">
            <v>26019253.751082301</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3916224.9509701882</v>
          </cell>
          <cell r="BJ31">
            <v>4649526.9810563549</v>
          </cell>
          <cell r="BK31">
            <v>4428120.9343393873</v>
          </cell>
          <cell r="BL31">
            <v>4206714.887622416</v>
          </cell>
          <cell r="BM31">
            <v>3954878.0148432013</v>
          </cell>
          <cell r="BN31">
            <v>4939552.1532083927</v>
          </cell>
          <cell r="BO31">
            <v>4704335.3840079941</v>
          </cell>
          <cell r="BP31">
            <v>4469118.6148075927</v>
          </cell>
          <cell r="BQ31">
            <v>4209688.651264173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7956794.8389865123</v>
          </cell>
          <cell r="BJ32">
            <v>9446682.1364366952</v>
          </cell>
          <cell r="BK32">
            <v>8996840.1299397107</v>
          </cell>
          <cell r="BL32">
            <v>8546998.1234427262</v>
          </cell>
          <cell r="BM32">
            <v>8035328.2488356102</v>
          </cell>
          <cell r="BN32">
            <v>10035941.135050606</v>
          </cell>
          <cell r="BO32">
            <v>9558039.1762386747</v>
          </cell>
          <cell r="BP32">
            <v>9080137.2174267415</v>
          </cell>
          <cell r="BQ32">
            <v>8553040.0713628083</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7056620.5192445032</v>
          </cell>
          <cell r="BJ33">
            <v>8377952.7249002997</v>
          </cell>
          <cell r="BK33">
            <v>7979002.5951431403</v>
          </cell>
          <cell r="BL33">
            <v>7580052.4653859856</v>
          </cell>
          <cell r="BM33">
            <v>7126269.2261172794</v>
          </cell>
          <cell r="BN33">
            <v>8900547.2148819007</v>
          </cell>
          <cell r="BO33">
            <v>8476711.6332208551</v>
          </cell>
          <cell r="BP33">
            <v>8052876.0515598161</v>
          </cell>
          <cell r="BQ33">
            <v>7585410.8709414685</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5056974.1916060355</v>
          </cell>
          <cell r="BJ34">
            <v>6003878.2860399829</v>
          </cell>
          <cell r="BK34">
            <v>5717979.3200380793</v>
          </cell>
          <cell r="BL34">
            <v>5432080.3540361738</v>
          </cell>
          <cell r="BM34">
            <v>5106886.4282317441</v>
          </cell>
          <cell r="BN34">
            <v>6378384.303659223</v>
          </cell>
          <cell r="BO34">
            <v>6074651.7177706892</v>
          </cell>
          <cell r="BP34">
            <v>5770919.1318821535</v>
          </cell>
          <cell r="BQ34">
            <v>5435920.3392710825</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38516753.428350106</v>
          </cell>
          <cell r="BJ35">
            <v>45728906.416226931</v>
          </cell>
          <cell r="BK35">
            <v>43551339.444025636</v>
          </cell>
          <cell r="BL35">
            <v>41373772.47182437</v>
          </cell>
          <cell r="BM35">
            <v>38896913.033348866</v>
          </cell>
          <cell r="BN35">
            <v>48581354.420018792</v>
          </cell>
          <cell r="BO35">
            <v>46267956.590494081</v>
          </cell>
          <cell r="BP35">
            <v>43954558.760969393</v>
          </cell>
          <cell r="BQ35">
            <v>41403019.954381615</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9711720.2238746677</v>
          </cell>
          <cell r="BJ36">
            <v>11530212.329143517</v>
          </cell>
          <cell r="BK36">
            <v>10981154.599184303</v>
          </cell>
          <cell r="BL36">
            <v>10432096.86922509</v>
          </cell>
          <cell r="BM36">
            <v>9807574.7130396124</v>
          </cell>
          <cell r="BN36">
            <v>12249436.419966973</v>
          </cell>
          <cell r="BO36">
            <v>11666129.923778072</v>
          </cell>
          <cell r="BP36">
            <v>11082823.427589172</v>
          </cell>
          <cell r="BQ36">
            <v>10439471.409978552</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80891671.665256396</v>
          </cell>
          <cell r="BJ37">
            <v>96038408.073873803</v>
          </cell>
          <cell r="BK37">
            <v>91465150.546546534</v>
          </cell>
          <cell r="BL37">
            <v>86891893.01921922</v>
          </cell>
          <cell r="BM37">
            <v>81690070.88665387</v>
          </cell>
          <cell r="BN37">
            <v>102029029.47435543</v>
          </cell>
          <cell r="BO37">
            <v>97170504.261290923</v>
          </cell>
          <cell r="BP37">
            <v>92311979.048226416</v>
          </cell>
          <cell r="BQ37">
            <v>86953317.660329103</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33340994.15581226</v>
          </cell>
          <cell r="BJ38">
            <v>39584000.879287459</v>
          </cell>
          <cell r="BK38">
            <v>37699048.456464224</v>
          </cell>
          <cell r="BL38">
            <v>35814096.033641025</v>
          </cell>
          <cell r="BM38">
            <v>33670069.117753632</v>
          </cell>
          <cell r="BN38">
            <v>42053145.959261477</v>
          </cell>
          <cell r="BO38">
            <v>40050615.199296623</v>
          </cell>
          <cell r="BP38">
            <v>38048084.4393318</v>
          </cell>
          <cell r="BQ38">
            <v>35839413.332172617</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2791599.7323243651</v>
          </cell>
          <cell r="BJ39">
            <v>3314318.8755120737</v>
          </cell>
          <cell r="BK39">
            <v>3156494.1671543554</v>
          </cell>
          <cell r="BL39">
            <v>2998669.4587966362</v>
          </cell>
          <cell r="BM39">
            <v>2819152.7672271961</v>
          </cell>
          <cell r="BN39">
            <v>3521057.3042497747</v>
          </cell>
          <cell r="BO39">
            <v>3353387.9088093084</v>
          </cell>
          <cell r="BP39">
            <v>3185718.5133688417</v>
          </cell>
          <cell r="BQ39">
            <v>3000789.2445316892</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46640559.071815915</v>
          </cell>
          <cell r="BJ40">
            <v>55373871.657254472</v>
          </cell>
          <cell r="BK40">
            <v>52737020.62595664</v>
          </cell>
          <cell r="BL40">
            <v>50100169.594658822</v>
          </cell>
          <cell r="BM40">
            <v>47100900.480046138</v>
          </cell>
          <cell r="BN40">
            <v>58827947.034288056</v>
          </cell>
          <cell r="BO40">
            <v>56026616.223131478</v>
          </cell>
          <cell r="BP40">
            <v>53225285.411974929</v>
          </cell>
          <cell r="BQ40">
            <v>50135585.843861908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15761325.24225137</v>
          </cell>
          <cell r="BJ41">
            <v>18712588.752823718</v>
          </cell>
          <cell r="BK41">
            <v>17821513.097927351</v>
          </cell>
          <cell r="BL41">
            <v>16930437.443030983</v>
          </cell>
          <cell r="BM41">
            <v>15916889.214939188</v>
          </cell>
          <cell r="BN41">
            <v>19879830.452153519</v>
          </cell>
          <cell r="BO41">
            <v>18933171.859193828</v>
          </cell>
          <cell r="BP41">
            <v>17986513.266234137</v>
          </cell>
          <cell r="BQ41">
            <v>16942405.717718493</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13742694.857694587</v>
          </cell>
          <cell r="BJ42">
            <v>16315975.546155967</v>
          </cell>
          <cell r="BK42">
            <v>15539024.329672342</v>
          </cell>
          <cell r="BL42">
            <v>14762073.113188727</v>
          </cell>
          <cell r="BM42">
            <v>13878334.987863872</v>
          </cell>
          <cell r="BN42">
            <v>17333722.864513762</v>
          </cell>
          <cell r="BO42">
            <v>16508307.490013098</v>
          </cell>
          <cell r="BP42">
            <v>15682892.115512447</v>
          </cell>
          <cell r="BQ42">
            <v>14772508.552117595</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45515627.528193943</v>
          </cell>
          <cell r="BJ43">
            <v>54038299.868249863</v>
          </cell>
          <cell r="BK43">
            <v>51465047.493571304</v>
          </cell>
          <cell r="BL43">
            <v>48891795.118892729</v>
          </cell>
          <cell r="BM43">
            <v>45964865.884032443</v>
          </cell>
          <cell r="BN43">
            <v>57409065.816258594</v>
          </cell>
          <cell r="BO43">
            <v>54675300.777389139</v>
          </cell>
          <cell r="BP43">
            <v>51941535.738519676</v>
          </cell>
          <cell r="BQ43">
            <v>48926357.157582961</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4659858.4227291206</v>
          </cell>
          <cell r="BJ44">
            <v>5532403.7141978508</v>
          </cell>
          <cell r="BK44">
            <v>5268955.9182836665</v>
          </cell>
          <cell r="BL44">
            <v>5005508.122369485</v>
          </cell>
          <cell r="BM44">
            <v>4705851.1344624767</v>
          </cell>
          <cell r="BN44">
            <v>5877500.397400721</v>
          </cell>
          <cell r="BO44">
            <v>5597619.4260959243</v>
          </cell>
          <cell r="BP44">
            <v>5317738.4547911296</v>
          </cell>
          <cell r="BQ44">
            <v>5009046.5599533133</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18664407.730453383</v>
          </cell>
          <cell r="BJ45">
            <v>22159265.214497246</v>
          </cell>
          <cell r="BK45">
            <v>21104062.109044984</v>
          </cell>
          <cell r="BL45">
            <v>20048859.003592733</v>
          </cell>
          <cell r="BM45">
            <v>18848625.070669871</v>
          </cell>
          <cell r="BN45">
            <v>23541501.458051011</v>
          </cell>
          <cell r="BO45">
            <v>22420477.579096191</v>
          </cell>
          <cell r="BP45">
            <v>21299453.700141378</v>
          </cell>
          <cell r="BQ45">
            <v>20063031.717826113</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3325521.5070886402</v>
          </cell>
          <cell r="BJ46">
            <v>3948215.9903662624</v>
          </cell>
          <cell r="BK46">
            <v>3760205.7051107264</v>
          </cell>
          <cell r="BL46">
            <v>3572195.4198551895</v>
          </cell>
          <cell r="BM46">
            <v>3358344.3394932835</v>
          </cell>
          <cell r="BN46">
            <v>4194495.2413448738</v>
          </cell>
          <cell r="BO46">
            <v>3994757.3727094042</v>
          </cell>
          <cell r="BP46">
            <v>3795019.5040739332</v>
          </cell>
          <cell r="BQ46">
            <v>3574720.6361212283</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24850745.93028916</v>
          </cell>
          <cell r="BJ47">
            <v>29503977.720593259</v>
          </cell>
          <cell r="BK47">
            <v>28099026.400565013</v>
          </cell>
          <cell r="BL47">
            <v>26694075.080536757</v>
          </cell>
          <cell r="BM47">
            <v>25096022.307862293</v>
          </cell>
          <cell r="BN47">
            <v>31344357.667295031</v>
          </cell>
          <cell r="BO47">
            <v>29851769.206947654</v>
          </cell>
          <cell r="BP47">
            <v>28359180.746600263</v>
          </cell>
          <cell r="BQ47">
            <v>26712945.356285274</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102678863.82093062</v>
          </cell>
          <cell r="BJ48">
            <v>121905190.25250511</v>
          </cell>
          <cell r="BK48">
            <v>116100181.192862</v>
          </cell>
          <cell r="BL48">
            <v>110295172.1332189</v>
          </cell>
          <cell r="BM48">
            <v>103692302.20390594</v>
          </cell>
          <cell r="BN48">
            <v>129509312.98009858</v>
          </cell>
          <cell r="BO48">
            <v>123342202.83818913</v>
          </cell>
          <cell r="BP48">
            <v>117175092.69627964</v>
          </cell>
          <cell r="BQ48">
            <v>110373140.75755236</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11366005.02312601</v>
          </cell>
          <cell r="BJ49">
            <v>13494257.271598889</v>
          </cell>
          <cell r="BK49">
            <v>12851673.591998944</v>
          </cell>
          <cell r="BL49">
            <v>12209089.912398994</v>
          </cell>
          <cell r="BM49">
            <v>11478187.270989744</v>
          </cell>
          <cell r="BN49">
            <v>14335993.281348892</v>
          </cell>
          <cell r="BO49">
            <v>13653326.934617992</v>
          </cell>
          <cell r="BP49">
            <v>12970660.587887092</v>
          </cell>
          <cell r="BQ49">
            <v>12217720.62511671</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2691635.1423330428</v>
          </cell>
          <cell r="BJ50">
            <v>3195636.1991760917</v>
          </cell>
          <cell r="BK50">
            <v>3043463.0468343738</v>
          </cell>
          <cell r="BL50">
            <v>2891289.8944926541</v>
          </cell>
          <cell r="BM50">
            <v>2718201.5286826501</v>
          </cell>
          <cell r="BN50">
            <v>3394971.5170648717</v>
          </cell>
          <cell r="BO50">
            <v>3233306.2067284505</v>
          </cell>
          <cell r="BP50">
            <v>3071640.8963920269</v>
          </cell>
          <cell r="BQ50">
            <v>2893333.7726721135</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30013070.136155933</v>
          </cell>
          <cell r="BJ51">
            <v>35632932.512679882</v>
          </cell>
          <cell r="BK51">
            <v>33936126.202552266</v>
          </cell>
          <cell r="BL51">
            <v>32239319.892424662</v>
          </cell>
          <cell r="BM51">
            <v>30309298.552940484</v>
          </cell>
          <cell r="BN51">
            <v>37855620.418003961</v>
          </cell>
          <cell r="BO51">
            <v>36052971.826670431</v>
          </cell>
          <cell r="BP51">
            <v>34250323.235336922</v>
          </cell>
          <cell r="BQ51">
            <v>32262110.150355633</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23585527.488701753</v>
          </cell>
          <cell r="BJ52">
            <v>28001850.709315889</v>
          </cell>
          <cell r="BK52">
            <v>26668429.246967513</v>
          </cell>
          <cell r="BL52">
            <v>25335007.784619145</v>
          </cell>
          <cell r="BM52">
            <v>23818316.184936795</v>
          </cell>
          <cell r="BN52">
            <v>29748531.953587297</v>
          </cell>
          <cell r="BO52">
            <v>28331935.193892658</v>
          </cell>
          <cell r="BP52">
            <v>26915338.434198041</v>
          </cell>
          <cell r="BQ52">
            <v>25352917.323778827</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8092647.0760519002</v>
          </cell>
          <cell r="BJ53">
            <v>9607972.3201162349</v>
          </cell>
          <cell r="BK53">
            <v>9150449.8286821302</v>
          </cell>
          <cell r="BL53">
            <v>8692927.3372480255</v>
          </cell>
          <cell r="BM53">
            <v>8172521.3448307896</v>
          </cell>
          <cell r="BN53">
            <v>10207292.172980199</v>
          </cell>
          <cell r="BO53">
            <v>9721230.640933523</v>
          </cell>
          <cell r="BP53">
            <v>9235169.1088868491</v>
          </cell>
          <cell r="BQ53">
            <v>8699072.4438089654</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22183618.173180282</v>
          </cell>
          <cell r="BJ54">
            <v>26337437.845111929</v>
          </cell>
          <cell r="BK54">
            <v>25083274.13820184</v>
          </cell>
          <cell r="BL54">
            <v>23829110.431291748</v>
          </cell>
          <cell r="BM54">
            <v>22402570.051817909</v>
          </cell>
          <cell r="BN54">
            <v>27980297.425493747</v>
          </cell>
          <cell r="BO54">
            <v>26647902.309994049</v>
          </cell>
          <cell r="BP54">
            <v>25315507.194494344</v>
          </cell>
          <cell r="BQ54">
            <v>23845955.438407499</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2823791.9442427238</v>
          </cell>
          <cell r="BJ55">
            <v>3352538.9879336543</v>
          </cell>
          <cell r="BK55">
            <v>3192894.2742225295</v>
          </cell>
          <cell r="BL55">
            <v>3033249.5605114037</v>
          </cell>
          <cell r="BM55">
            <v>2851662.7156492216</v>
          </cell>
          <cell r="BN55">
            <v>3561661.4860035479</v>
          </cell>
          <cell r="BO55">
            <v>3392058.5580986189</v>
          </cell>
          <cell r="BP55">
            <v>3222455.6301936889</v>
          </cell>
          <cell r="BQ55">
            <v>3035393.7912235828</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11470105.000295393</v>
          </cell>
          <cell r="BJ59">
            <v>13617849.674649296</v>
          </cell>
          <cell r="BK59">
            <v>12969380.642523151</v>
          </cell>
          <cell r="BL59">
            <v>12320911.610396987</v>
          </cell>
          <cell r="BM59">
            <v>11583314.712903131</v>
          </cell>
          <cell r="BN59">
            <v>14467295.050990229</v>
          </cell>
          <cell r="BO59">
            <v>13778376.239038324</v>
          </cell>
          <cell r="BP59">
            <v>13089457.427086402</v>
          </cell>
          <cell r="BQ59">
            <v>12329621.37085356</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997377.7079577262</v>
          </cell>
          <cell r="BJ60">
            <v>1184133.8588848843</v>
          </cell>
          <cell r="BK60">
            <v>1127746.5322713184</v>
          </cell>
          <cell r="BL60">
            <v>1071359.2056577522</v>
          </cell>
          <cell r="BM60">
            <v>1007221.8064796098</v>
          </cell>
          <cell r="BN60">
            <v>1257996.991128956</v>
          </cell>
          <cell r="BO60">
            <v>1198092.3725037675</v>
          </cell>
          <cell r="BP60">
            <v>1138187.7538785792</v>
          </cell>
          <cell r="BQ60">
            <v>1072116.5588747291</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row>
      </sheetData>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
      <sheetName val="ffy22 Justix"/>
      <sheetName val="611 ffy2022-SFY23"/>
      <sheetName val="Sheet4"/>
      <sheetName val="Sheet3"/>
    </sheetNames>
    <sheetDataSet>
      <sheetData sheetId="0"/>
      <sheetData sheetId="1">
        <row r="9">
          <cell r="B9">
            <v>7322036</v>
          </cell>
        </row>
        <row r="10">
          <cell r="B10">
            <v>6365494.4699999997</v>
          </cell>
        </row>
        <row r="12">
          <cell r="B12">
            <v>196301.45</v>
          </cell>
        </row>
        <row r="13">
          <cell r="B13">
            <v>190576.38</v>
          </cell>
        </row>
        <row r="14">
          <cell r="B14">
            <v>375183.74</v>
          </cell>
        </row>
        <row r="15">
          <cell r="B15">
            <v>194479.96000000002</v>
          </cell>
        </row>
        <row r="24">
          <cell r="B24">
            <v>9066752</v>
          </cell>
        </row>
        <row r="25">
          <cell r="B25">
            <v>3439183</v>
          </cell>
        </row>
        <row r="26">
          <cell r="B26">
            <v>3399140.37</v>
          </cell>
        </row>
        <row r="27">
          <cell r="B27">
            <v>558150</v>
          </cell>
        </row>
        <row r="28">
          <cell r="B28">
            <v>967920</v>
          </cell>
        </row>
        <row r="29">
          <cell r="B29">
            <v>970000</v>
          </cell>
        </row>
        <row r="30">
          <cell r="B30">
            <v>250000</v>
          </cell>
        </row>
        <row r="31">
          <cell r="B31">
            <v>0</v>
          </cell>
        </row>
        <row r="32">
          <cell r="B32">
            <v>855400</v>
          </cell>
        </row>
        <row r="33">
          <cell r="B33">
            <v>62024</v>
          </cell>
        </row>
        <row r="34">
          <cell r="B34">
            <v>5686602.2867024168</v>
          </cell>
        </row>
        <row r="35">
          <cell r="B35">
            <v>2624098</v>
          </cell>
        </row>
        <row r="36">
          <cell r="B36">
            <v>4636274.34</v>
          </cell>
        </row>
      </sheetData>
      <sheetData sheetId="2">
        <row r="25">
          <cell r="D25">
            <v>7322036</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doe.mass.edu/turnaround/level4/guidanc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4358A-123E-442D-ABD5-65A9550709A2}">
  <dimension ref="A1:Z278"/>
  <sheetViews>
    <sheetView showGridLines="0" tabSelected="1" zoomScaleNormal="100" workbookViewId="0">
      <selection sqref="A1:E1"/>
    </sheetView>
  </sheetViews>
  <sheetFormatPr defaultColWidth="9.28515625" defaultRowHeight="15" x14ac:dyDescent="0.25"/>
  <cols>
    <col min="1" max="1" width="4.28515625" customWidth="1"/>
    <col min="2" max="2" width="29" bestFit="1" customWidth="1"/>
    <col min="3" max="3" width="6" customWidth="1"/>
    <col min="4" max="4" width="29.28515625" customWidth="1"/>
    <col min="5" max="5" width="29" customWidth="1"/>
    <col min="6" max="6" width="6.7109375" customWidth="1"/>
    <col min="7" max="7" width="2.28515625" style="42" customWidth="1"/>
    <col min="8" max="8" width="13" customWidth="1"/>
    <col min="9" max="9" width="14.42578125" customWidth="1"/>
    <col min="10" max="10" width="16.28515625" customWidth="1"/>
    <col min="12" max="12" width="9.5703125" bestFit="1" customWidth="1"/>
    <col min="15" max="15" width="11.28515625" customWidth="1"/>
    <col min="16" max="16" width="12.7109375" customWidth="1"/>
    <col min="17" max="17" width="6.42578125" customWidth="1"/>
    <col min="18" max="18" width="5.42578125" customWidth="1"/>
    <col min="19" max="19" width="5.28515625" customWidth="1"/>
    <col min="20" max="20" width="12.7109375" customWidth="1"/>
    <col min="21" max="21" width="12.42578125" style="27" customWidth="1"/>
    <col min="22" max="22" width="14.28515625" customWidth="1"/>
    <col min="23" max="23" width="13.7109375" customWidth="1"/>
    <col min="24" max="24" width="15.5703125" customWidth="1"/>
    <col min="25" max="25" width="13.5703125" customWidth="1"/>
    <col min="26" max="26" width="16.7109375" customWidth="1"/>
  </cols>
  <sheetData>
    <row r="1" spans="1:22" ht="20.25" x14ac:dyDescent="0.3">
      <c r="A1" s="206" t="s">
        <v>0</v>
      </c>
      <c r="B1" s="206"/>
      <c r="C1" s="206"/>
      <c r="D1" s="206"/>
      <c r="E1" s="206"/>
      <c r="F1" s="1" t="s">
        <v>1</v>
      </c>
      <c r="G1" s="2" t="s">
        <v>2</v>
      </c>
      <c r="H1" s="3">
        <v>2022</v>
      </c>
      <c r="I1" s="173"/>
      <c r="J1" s="173"/>
      <c r="K1" s="173"/>
      <c r="L1" s="173"/>
      <c r="M1" s="173"/>
      <c r="N1" s="173"/>
      <c r="O1" s="173"/>
      <c r="P1" s="173"/>
      <c r="T1" s="4"/>
      <c r="U1" s="4" t="s">
        <v>3</v>
      </c>
      <c r="V1" s="4"/>
    </row>
    <row r="2" spans="1:22" x14ac:dyDescent="0.25">
      <c r="A2" s="5"/>
      <c r="B2" s="6">
        <f>VLOOKUP($A1,fund_table,MATCH($H$1,year_row,0),0)</f>
        <v>321458477</v>
      </c>
      <c r="C2" s="7"/>
      <c r="D2" s="6">
        <f>VLOOKUP(A1,admin,MATCH(H1,admin_year,0),0)</f>
        <v>7322036</v>
      </c>
      <c r="E2" s="8">
        <f>VLOOKUP($A$1,other,MATCH($H$1&amp;" RPHA",other_label,0),0)</f>
        <v>36336185.146161489</v>
      </c>
      <c r="F2" s="8">
        <f>VLOOKUP($A$1,other,MATCH($H$1&amp;" HA",other_label,0),0)</f>
        <v>32515544.440138914</v>
      </c>
      <c r="G2" s="7">
        <f>VLOOKUP($A$1,other,MATCH($H$1&amp;" RPLA",other_label,0),0)</f>
        <v>38152994.403469577</v>
      </c>
      <c r="H2" s="7">
        <f>VLOOKUP($A$1,other,MATCH($H$1&amp;" LA",other_label,0),0)</f>
        <v>34519375.888853408</v>
      </c>
      <c r="I2" s="9">
        <f>VLOOKUP(A1,admin,MATCH(2004,admin_year,0),0)</f>
        <v>4897191</v>
      </c>
      <c r="J2" s="10"/>
      <c r="K2" s="173"/>
      <c r="L2" s="173"/>
      <c r="M2" s="173"/>
      <c r="N2" s="173"/>
      <c r="O2" s="173"/>
      <c r="P2" s="173"/>
      <c r="T2" s="4"/>
      <c r="U2" s="4" t="s">
        <v>4</v>
      </c>
      <c r="V2" s="4"/>
    </row>
    <row r="3" spans="1:22" x14ac:dyDescent="0.25">
      <c r="A3" s="207" t="s">
        <v>5</v>
      </c>
      <c r="B3" s="207"/>
      <c r="C3" s="207"/>
      <c r="D3" s="207"/>
      <c r="E3" s="207"/>
      <c r="F3" s="207"/>
      <c r="G3" s="11"/>
      <c r="H3" s="12"/>
      <c r="I3" s="13">
        <f>B2</f>
        <v>321458477</v>
      </c>
      <c r="J3" s="173"/>
      <c r="K3" s="173"/>
      <c r="L3" s="173"/>
      <c r="M3" s="173"/>
      <c r="N3" s="173"/>
      <c r="O3" s="173"/>
      <c r="P3" s="173"/>
      <c r="T3" s="4"/>
      <c r="U3" s="4" t="s">
        <v>6</v>
      </c>
      <c r="V3" s="4"/>
    </row>
    <row r="4" spans="1:22" x14ac:dyDescent="0.25">
      <c r="A4" s="174"/>
      <c r="B4" s="174"/>
      <c r="C4" s="174"/>
      <c r="D4" s="174"/>
      <c r="E4" s="174"/>
      <c r="F4" s="174"/>
      <c r="G4" s="2"/>
      <c r="H4" s="173"/>
      <c r="I4" s="14"/>
      <c r="J4" s="173"/>
      <c r="K4" s="173"/>
      <c r="L4" s="173"/>
      <c r="M4" s="173"/>
      <c r="N4" s="173"/>
      <c r="O4" s="173"/>
      <c r="P4" s="173"/>
      <c r="T4" s="4"/>
      <c r="U4" s="4" t="s">
        <v>7</v>
      </c>
      <c r="V4" s="4"/>
    </row>
    <row r="5" spans="1:22" x14ac:dyDescent="0.25">
      <c r="A5" s="199" t="s">
        <v>8</v>
      </c>
      <c r="B5" s="199"/>
      <c r="C5" s="199"/>
      <c r="D5" s="199"/>
      <c r="E5" s="199"/>
      <c r="F5" s="199"/>
      <c r="G5" s="2"/>
      <c r="H5" s="173"/>
      <c r="I5" s="14">
        <f>SUM(I3:I3)</f>
        <v>321458477</v>
      </c>
      <c r="J5" s="173"/>
      <c r="K5" s="173"/>
      <c r="L5" s="173"/>
      <c r="M5" s="173"/>
      <c r="N5" s="173"/>
      <c r="O5" s="173"/>
      <c r="P5" s="173"/>
      <c r="T5" s="4"/>
      <c r="U5" s="4" t="s">
        <v>9</v>
      </c>
      <c r="V5" s="4"/>
    </row>
    <row r="6" spans="1:22" x14ac:dyDescent="0.25">
      <c r="A6" s="173"/>
      <c r="B6" s="173"/>
      <c r="C6" s="173"/>
      <c r="D6" s="173"/>
      <c r="E6" s="173"/>
      <c r="F6" s="173"/>
      <c r="G6" s="2"/>
      <c r="H6" s="173"/>
      <c r="I6" s="14"/>
      <c r="J6" s="173"/>
      <c r="K6" s="173"/>
      <c r="L6" s="173"/>
      <c r="M6" s="173"/>
      <c r="N6" s="173"/>
      <c r="O6" s="173"/>
      <c r="P6" s="173"/>
      <c r="T6" s="4"/>
      <c r="U6" s="4" t="s">
        <v>10</v>
      </c>
      <c r="V6" s="4"/>
    </row>
    <row r="7" spans="1:22" x14ac:dyDescent="0.25">
      <c r="A7" s="174" t="s">
        <v>11</v>
      </c>
      <c r="B7" s="173"/>
      <c r="C7" s="173"/>
      <c r="D7" s="173"/>
      <c r="E7" s="173"/>
      <c r="F7" s="173"/>
      <c r="G7" s="2"/>
      <c r="H7" s="173"/>
      <c r="I7" s="14"/>
      <c r="J7" s="173"/>
      <c r="K7" s="173"/>
      <c r="L7" s="173"/>
      <c r="M7" s="173"/>
      <c r="N7" s="173"/>
      <c r="O7" s="173"/>
      <c r="P7" s="173"/>
      <c r="T7" s="4"/>
      <c r="U7" s="4" t="s">
        <v>12</v>
      </c>
      <c r="V7" s="4"/>
    </row>
    <row r="8" spans="1:22" x14ac:dyDescent="0.25">
      <c r="A8" s="173"/>
      <c r="B8" s="173"/>
      <c r="C8" s="173"/>
      <c r="D8" s="173"/>
      <c r="E8" s="173"/>
      <c r="F8" s="173"/>
      <c r="G8" s="15" t="s">
        <v>13</v>
      </c>
      <c r="H8" s="173"/>
      <c r="I8" s="16"/>
      <c r="J8" s="173"/>
      <c r="K8" s="173"/>
      <c r="L8" s="173"/>
      <c r="M8" s="173"/>
      <c r="N8" s="173"/>
      <c r="O8" s="173"/>
      <c r="P8" s="173"/>
      <c r="T8" s="4"/>
      <c r="U8" s="4" t="s">
        <v>14</v>
      </c>
      <c r="V8" s="4"/>
    </row>
    <row r="9" spans="1:22" x14ac:dyDescent="0.25">
      <c r="A9" s="198" t="s">
        <v>15</v>
      </c>
      <c r="B9" s="198"/>
      <c r="C9" s="198"/>
      <c r="D9" s="198"/>
      <c r="E9" s="198"/>
      <c r="F9" s="198"/>
      <c r="G9" s="15" t="s">
        <v>16</v>
      </c>
      <c r="H9" s="173"/>
      <c r="I9" s="14">
        <f>D2</f>
        <v>7322036</v>
      </c>
      <c r="J9" s="173"/>
      <c r="K9" s="173"/>
      <c r="L9" s="173"/>
      <c r="M9" s="173"/>
      <c r="N9" s="173"/>
      <c r="O9" s="173"/>
      <c r="P9" s="173"/>
      <c r="T9" s="4"/>
      <c r="U9" s="4" t="s">
        <v>17</v>
      </c>
      <c r="V9" s="4"/>
    </row>
    <row r="10" spans="1:22" x14ac:dyDescent="0.25">
      <c r="A10" s="173"/>
      <c r="B10" s="173"/>
      <c r="C10" s="173"/>
      <c r="D10" s="173"/>
      <c r="E10" s="173"/>
      <c r="F10" s="173"/>
      <c r="G10" s="2"/>
      <c r="H10" s="173"/>
      <c r="I10" s="173"/>
      <c r="J10" s="173"/>
      <c r="K10" s="173"/>
      <c r="L10" s="173"/>
      <c r="M10" s="173"/>
      <c r="N10" s="173"/>
      <c r="O10" s="173"/>
      <c r="P10" s="173"/>
      <c r="T10" s="4"/>
      <c r="U10" s="4" t="s">
        <v>18</v>
      </c>
      <c r="V10" s="4"/>
    </row>
    <row r="11" spans="1:22" x14ac:dyDescent="0.25">
      <c r="A11" s="198" t="s">
        <v>19</v>
      </c>
      <c r="B11" s="198"/>
      <c r="C11" s="198"/>
      <c r="D11" s="198"/>
      <c r="E11" s="198"/>
      <c r="F11" s="198"/>
      <c r="G11" s="2"/>
      <c r="H11" s="173"/>
      <c r="I11" s="17">
        <f>'[3]ffy22 Justix'!B9</f>
        <v>7322036</v>
      </c>
      <c r="J11" s="205" t="str">
        <f>IF(SUM(I11:I11)&gt;I9,"PROBLEM The amount you want to set aside is more than the maximum amount available to be set aside.","OK")</f>
        <v>OK</v>
      </c>
      <c r="K11" s="205"/>
      <c r="L11" s="205"/>
      <c r="M11" s="205"/>
      <c r="N11" s="205"/>
      <c r="O11" s="205"/>
      <c r="P11" s="205"/>
      <c r="T11" s="4"/>
      <c r="U11" s="4" t="s">
        <v>20</v>
      </c>
      <c r="V11" s="4"/>
    </row>
    <row r="12" spans="1:22" x14ac:dyDescent="0.25">
      <c r="A12" s="173"/>
      <c r="B12" s="173"/>
      <c r="C12" s="173"/>
      <c r="D12" s="173"/>
      <c r="E12" s="173"/>
      <c r="F12" s="173"/>
      <c r="G12" s="2"/>
      <c r="H12" s="173"/>
      <c r="I12" s="173" t="str">
        <f>IF(SUM(I11:I11)&lt;&gt;ROUND(SUM(I11:I11),0),"WHOLE DOLLARS","")</f>
        <v/>
      </c>
      <c r="J12" s="205"/>
      <c r="K12" s="205"/>
      <c r="L12" s="205"/>
      <c r="M12" s="205"/>
      <c r="N12" s="205"/>
      <c r="O12" s="205"/>
      <c r="P12" s="205"/>
      <c r="T12" s="4"/>
      <c r="U12" s="4" t="s">
        <v>21</v>
      </c>
      <c r="V12" s="4"/>
    </row>
    <row r="13" spans="1:22" x14ac:dyDescent="0.25">
      <c r="A13" s="173"/>
      <c r="B13" s="173"/>
      <c r="C13" s="173"/>
      <c r="D13" s="173"/>
      <c r="E13" s="173"/>
      <c r="F13" s="173"/>
      <c r="G13" s="2"/>
      <c r="H13" s="202" t="str">
        <f>IF(SUM(I11:I11)&gt;I9,"You must reduce the amount you intend to set aside for Administration before you proceed!"," ")</f>
        <v xml:space="preserve"> </v>
      </c>
      <c r="I13" s="202"/>
      <c r="J13" s="202"/>
      <c r="K13" s="202"/>
      <c r="L13" s="202"/>
      <c r="M13" s="202"/>
      <c r="N13" s="202"/>
      <c r="O13" s="202"/>
      <c r="P13" s="202"/>
      <c r="Q13" s="18"/>
      <c r="T13" s="4"/>
      <c r="U13" s="4" t="s">
        <v>22</v>
      </c>
      <c r="V13" s="4"/>
    </row>
    <row r="14" spans="1:22" x14ac:dyDescent="0.25">
      <c r="A14" s="199" t="s">
        <v>23</v>
      </c>
      <c r="B14" s="199"/>
      <c r="C14" s="199"/>
      <c r="D14" s="199"/>
      <c r="E14" s="199"/>
      <c r="F14" s="199"/>
      <c r="G14" s="2"/>
      <c r="H14" s="173"/>
      <c r="I14" s="19"/>
      <c r="J14" s="173"/>
      <c r="K14" s="173"/>
      <c r="L14" s="173"/>
      <c r="M14" s="173"/>
      <c r="N14" s="173"/>
      <c r="O14" s="173"/>
      <c r="P14" s="173"/>
      <c r="T14" s="4"/>
      <c r="U14" s="4" t="s">
        <v>24</v>
      </c>
      <c r="V14" s="4"/>
    </row>
    <row r="15" spans="1:22" x14ac:dyDescent="0.25">
      <c r="A15" s="199" t="s">
        <v>25</v>
      </c>
      <c r="B15" s="199"/>
      <c r="C15" s="199"/>
      <c r="D15" s="199"/>
      <c r="E15" s="199"/>
      <c r="F15" s="199"/>
      <c r="G15" s="2"/>
      <c r="H15" s="173"/>
      <c r="I15" s="173"/>
      <c r="J15" s="173" t="s">
        <v>2</v>
      </c>
      <c r="K15" s="173"/>
      <c r="L15" s="173"/>
      <c r="M15" s="173"/>
      <c r="N15" s="173"/>
      <c r="O15" s="173"/>
      <c r="P15" s="173"/>
      <c r="T15" s="4"/>
      <c r="U15" s="4" t="s">
        <v>26</v>
      </c>
      <c r="V15" s="4"/>
    </row>
    <row r="16" spans="1:22" x14ac:dyDescent="0.25">
      <c r="A16" s="174"/>
      <c r="B16" s="173"/>
      <c r="C16" s="173"/>
      <c r="D16" s="173"/>
      <c r="E16" s="173"/>
      <c r="F16" s="173"/>
      <c r="G16" s="2"/>
      <c r="H16" s="173"/>
      <c r="I16" s="173"/>
      <c r="J16" s="173"/>
      <c r="K16" s="173"/>
      <c r="L16" s="173"/>
      <c r="M16" s="173"/>
      <c r="N16" s="173"/>
      <c r="O16" s="173"/>
      <c r="P16" s="173"/>
      <c r="T16" s="4"/>
      <c r="U16" s="4" t="s">
        <v>27</v>
      </c>
      <c r="V16" s="4"/>
    </row>
    <row r="17" spans="1:22" ht="12.75" customHeight="1" x14ac:dyDescent="0.25">
      <c r="A17" s="173"/>
      <c r="B17" s="193" t="s">
        <v>28</v>
      </c>
      <c r="C17" s="193"/>
      <c r="D17" s="193"/>
      <c r="E17" s="193"/>
      <c r="F17" s="193"/>
      <c r="G17" s="20"/>
      <c r="H17" s="173"/>
      <c r="I17" s="173"/>
      <c r="J17" s="173"/>
      <c r="K17" s="173"/>
      <c r="L17" s="173"/>
      <c r="M17" s="173"/>
      <c r="N17" s="173"/>
      <c r="O17" s="173"/>
      <c r="P17" s="173"/>
      <c r="T17" s="4"/>
      <c r="U17" s="4" t="s">
        <v>29</v>
      </c>
      <c r="V17" s="4"/>
    </row>
    <row r="18" spans="1:22" x14ac:dyDescent="0.25">
      <c r="A18" s="173"/>
      <c r="B18" s="193"/>
      <c r="C18" s="193"/>
      <c r="D18" s="193"/>
      <c r="E18" s="193"/>
      <c r="F18" s="193"/>
      <c r="G18" s="20"/>
      <c r="H18" s="173"/>
      <c r="I18" s="173"/>
      <c r="J18" s="173"/>
      <c r="K18" s="173"/>
      <c r="L18" s="173"/>
      <c r="M18" s="173"/>
      <c r="N18" s="173"/>
      <c r="O18" s="173"/>
      <c r="P18" s="173"/>
      <c r="T18" s="4"/>
      <c r="U18" s="4" t="s">
        <v>30</v>
      </c>
      <c r="V18" s="4"/>
    </row>
    <row r="19" spans="1:22" x14ac:dyDescent="0.25">
      <c r="A19" s="173"/>
      <c r="B19" s="193"/>
      <c r="C19" s="193"/>
      <c r="D19" s="193"/>
      <c r="E19" s="193"/>
      <c r="F19" s="193"/>
      <c r="G19" s="20"/>
      <c r="H19" s="173"/>
      <c r="I19" s="173"/>
      <c r="J19" s="173"/>
      <c r="K19" s="173"/>
      <c r="L19" s="173"/>
      <c r="M19" s="173"/>
      <c r="N19" s="173"/>
      <c r="O19" s="173"/>
      <c r="P19" s="173"/>
      <c r="T19" s="4"/>
      <c r="U19" s="4" t="s">
        <v>31</v>
      </c>
      <c r="V19" s="4"/>
    </row>
    <row r="20" spans="1:22" x14ac:dyDescent="0.25">
      <c r="A20" s="173"/>
      <c r="B20" s="193"/>
      <c r="C20" s="193"/>
      <c r="D20" s="193"/>
      <c r="E20" s="193"/>
      <c r="F20" s="193"/>
      <c r="G20" s="20"/>
      <c r="H20" s="173"/>
      <c r="I20" s="173"/>
      <c r="J20" s="173"/>
      <c r="K20" s="173"/>
      <c r="L20" s="173"/>
      <c r="M20" s="173"/>
      <c r="N20" s="173"/>
      <c r="O20" s="173"/>
      <c r="P20" s="173"/>
      <c r="T20" s="4"/>
      <c r="U20" s="4" t="s">
        <v>32</v>
      </c>
      <c r="V20" s="4"/>
    </row>
    <row r="21" spans="1:22" x14ac:dyDescent="0.25">
      <c r="A21" s="173"/>
      <c r="B21" s="193"/>
      <c r="C21" s="193"/>
      <c r="D21" s="193"/>
      <c r="E21" s="193"/>
      <c r="F21" s="193"/>
      <c r="G21" s="21" t="s">
        <v>33</v>
      </c>
      <c r="H21" s="22">
        <f>'[3]ffy22 Justix'!B10</f>
        <v>6365494.4699999997</v>
      </c>
      <c r="I21" s="173" t="str">
        <f>IF(SUM(H21:H21)&lt;&gt;ROUND(SUM(H21:H21),0),"WHOLE DOLLARS","")</f>
        <v>WHOLE DOLLARS</v>
      </c>
      <c r="J21" s="173"/>
      <c r="K21" s="173"/>
      <c r="L21" s="173"/>
      <c r="M21" s="173"/>
      <c r="N21" s="173"/>
      <c r="O21" s="173"/>
      <c r="P21" s="173"/>
      <c r="T21" s="4"/>
      <c r="U21" s="4" t="s">
        <v>34</v>
      </c>
      <c r="V21" s="4"/>
    </row>
    <row r="22" spans="1:22" x14ac:dyDescent="0.25">
      <c r="A22" s="173"/>
      <c r="B22" s="173"/>
      <c r="C22" s="173"/>
      <c r="D22" s="173"/>
      <c r="E22" s="173"/>
      <c r="F22" s="173"/>
      <c r="G22" s="2"/>
      <c r="H22" s="173"/>
      <c r="I22" s="173"/>
      <c r="J22" s="173"/>
      <c r="K22" s="173"/>
      <c r="L22" s="173"/>
      <c r="M22" s="173"/>
      <c r="N22" s="173"/>
      <c r="O22" s="173"/>
      <c r="P22" s="173"/>
      <c r="T22" s="4"/>
      <c r="U22" s="4" t="s">
        <v>35</v>
      </c>
      <c r="V22" s="4"/>
    </row>
    <row r="23" spans="1:22" ht="12.75" customHeight="1" x14ac:dyDescent="0.25">
      <c r="A23" s="173"/>
      <c r="B23" s="193" t="s">
        <v>36</v>
      </c>
      <c r="C23" s="193"/>
      <c r="D23" s="193"/>
      <c r="E23" s="193"/>
      <c r="F23" s="193"/>
      <c r="G23" s="2"/>
      <c r="H23" s="173"/>
      <c r="I23" s="173"/>
      <c r="J23" s="173"/>
      <c r="K23" s="173"/>
      <c r="L23" s="173"/>
      <c r="M23" s="173"/>
      <c r="N23" s="173"/>
      <c r="O23" s="173"/>
      <c r="P23" s="173"/>
      <c r="T23" s="4"/>
      <c r="U23" s="4" t="s">
        <v>0</v>
      </c>
      <c r="V23" s="4"/>
    </row>
    <row r="24" spans="1:22" x14ac:dyDescent="0.25">
      <c r="A24" s="173"/>
      <c r="B24" s="193"/>
      <c r="C24" s="193"/>
      <c r="D24" s="193"/>
      <c r="E24" s="193"/>
      <c r="F24" s="193"/>
      <c r="G24" s="21" t="s">
        <v>37</v>
      </c>
      <c r="H24" s="22">
        <v>0</v>
      </c>
      <c r="I24" s="173" t="str">
        <f>IF(SUM(H24:H24)&lt;&gt;ROUND(SUM(H24:H24),0),"WHOLE DOLLARS","")</f>
        <v/>
      </c>
      <c r="J24" s="173"/>
      <c r="K24" s="173"/>
      <c r="L24" s="173"/>
      <c r="M24" s="173"/>
      <c r="N24" s="173"/>
      <c r="O24" s="173"/>
      <c r="P24" s="173"/>
      <c r="T24" s="4"/>
      <c r="U24" s="4" t="s">
        <v>38</v>
      </c>
      <c r="V24" s="4"/>
    </row>
    <row r="25" spans="1:22" x14ac:dyDescent="0.25">
      <c r="A25" s="173"/>
      <c r="B25" s="180"/>
      <c r="C25" s="180"/>
      <c r="D25" s="180"/>
      <c r="E25" s="180"/>
      <c r="F25" s="180"/>
      <c r="G25" s="21"/>
      <c r="H25" s="23"/>
      <c r="I25" s="173"/>
      <c r="J25" s="173"/>
      <c r="K25" s="173"/>
      <c r="L25" s="173"/>
      <c r="M25" s="173"/>
      <c r="N25" s="173"/>
      <c r="O25" s="173"/>
      <c r="P25" s="173"/>
      <c r="T25" s="4"/>
      <c r="U25" s="4" t="s">
        <v>39</v>
      </c>
      <c r="V25" s="4"/>
    </row>
    <row r="26" spans="1:22" x14ac:dyDescent="0.25">
      <c r="A26" s="174"/>
      <c r="B26" s="173"/>
      <c r="C26" s="173"/>
      <c r="D26" s="173"/>
      <c r="E26" s="173"/>
      <c r="F26" s="173"/>
      <c r="G26" s="2"/>
      <c r="H26" s="173"/>
      <c r="I26" s="173"/>
      <c r="J26" s="173"/>
      <c r="K26" s="173"/>
      <c r="L26" s="173"/>
      <c r="M26" s="173"/>
      <c r="N26" s="173"/>
      <c r="O26" s="173"/>
      <c r="P26" s="173"/>
      <c r="T26" s="4"/>
      <c r="U26" s="4" t="s">
        <v>40</v>
      </c>
      <c r="V26" s="4"/>
    </row>
    <row r="27" spans="1:22" ht="12.75" customHeight="1" x14ac:dyDescent="0.25">
      <c r="A27" s="173"/>
      <c r="B27" s="203" t="s">
        <v>41</v>
      </c>
      <c r="C27" s="203"/>
      <c r="D27" s="203"/>
      <c r="E27" s="203"/>
      <c r="F27" s="203"/>
      <c r="G27" s="2"/>
      <c r="H27" s="173" t="s">
        <v>2</v>
      </c>
      <c r="I27" s="173"/>
      <c r="J27" s="173"/>
      <c r="K27" s="173"/>
      <c r="L27" s="173"/>
      <c r="M27" s="173"/>
      <c r="N27" s="173"/>
      <c r="O27" s="173"/>
      <c r="P27" s="173"/>
      <c r="T27" s="4"/>
      <c r="U27" s="4" t="s">
        <v>42</v>
      </c>
      <c r="V27" s="4"/>
    </row>
    <row r="28" spans="1:22" x14ac:dyDescent="0.25">
      <c r="A28" s="173"/>
      <c r="B28" s="203"/>
      <c r="C28" s="203"/>
      <c r="D28" s="203"/>
      <c r="E28" s="203"/>
      <c r="F28" s="203"/>
      <c r="G28" s="2"/>
      <c r="H28" s="173"/>
      <c r="I28" s="173"/>
      <c r="J28" s="173"/>
      <c r="K28" s="173"/>
      <c r="L28" s="173"/>
      <c r="M28" s="173"/>
      <c r="N28" s="173"/>
      <c r="O28" s="173"/>
      <c r="P28" s="173"/>
      <c r="T28" s="4"/>
      <c r="U28" s="4" t="s">
        <v>43</v>
      </c>
      <c r="V28" s="4"/>
    </row>
    <row r="29" spans="1:22" x14ac:dyDescent="0.25">
      <c r="A29" s="173"/>
      <c r="B29" s="203"/>
      <c r="C29" s="203"/>
      <c r="D29" s="203"/>
      <c r="E29" s="203"/>
      <c r="F29" s="203"/>
      <c r="G29" s="2"/>
      <c r="H29" s="173"/>
      <c r="I29" s="173"/>
      <c r="J29" s="173"/>
      <c r="K29" s="173"/>
      <c r="L29" s="173"/>
      <c r="M29" s="173"/>
      <c r="N29" s="173"/>
      <c r="O29" s="173"/>
      <c r="P29" s="173"/>
      <c r="T29" s="4"/>
      <c r="U29" s="4" t="s">
        <v>44</v>
      </c>
      <c r="V29" s="4"/>
    </row>
    <row r="30" spans="1:22" x14ac:dyDescent="0.25">
      <c r="A30" s="173"/>
      <c r="B30" s="203"/>
      <c r="C30" s="203"/>
      <c r="D30" s="203"/>
      <c r="E30" s="203"/>
      <c r="F30" s="203"/>
      <c r="G30" s="2"/>
      <c r="H30" s="173"/>
      <c r="I30" s="173"/>
      <c r="J30" s="173"/>
      <c r="K30" s="173"/>
      <c r="L30" s="173"/>
      <c r="M30" s="173"/>
      <c r="N30" s="173"/>
      <c r="O30" s="173"/>
      <c r="P30" s="173"/>
      <c r="T30" s="4"/>
      <c r="U30" s="4" t="s">
        <v>45</v>
      </c>
      <c r="V30" s="4"/>
    </row>
    <row r="31" spans="1:22" x14ac:dyDescent="0.25">
      <c r="A31" s="173"/>
      <c r="B31" s="203"/>
      <c r="C31" s="203"/>
      <c r="D31" s="203"/>
      <c r="E31" s="203"/>
      <c r="F31" s="203"/>
      <c r="G31" s="2"/>
      <c r="H31" s="24"/>
      <c r="I31" s="173"/>
      <c r="J31" s="173"/>
      <c r="K31" s="173"/>
      <c r="L31" s="173"/>
      <c r="M31" s="173"/>
      <c r="N31" s="173"/>
      <c r="O31" s="173"/>
      <c r="P31" s="173"/>
      <c r="T31" s="4"/>
      <c r="U31" s="4" t="s">
        <v>46</v>
      </c>
      <c r="V31" s="4"/>
    </row>
    <row r="32" spans="1:22" x14ac:dyDescent="0.25">
      <c r="A32" s="173"/>
      <c r="B32" s="204">
        <f>IF(AND((SUM(I11:I11)&gt;SUM(I2:I2)),((SUM(I11:I11)-SUM(I2:I2))&gt;0)),(SUM(I11:I11)-SUM(I2:I2)),0)</f>
        <v>2424845</v>
      </c>
      <c r="C32" s="204"/>
      <c r="D32" s="204"/>
      <c r="E32" s="204"/>
      <c r="F32" s="204"/>
      <c r="G32" s="2"/>
      <c r="H32" s="25" t="s">
        <v>2</v>
      </c>
      <c r="I32" s="173"/>
      <c r="J32" s="173"/>
      <c r="K32" s="173"/>
      <c r="L32" s="173"/>
      <c r="M32" s="173"/>
      <c r="N32" s="173"/>
      <c r="O32" s="173"/>
      <c r="P32" s="173"/>
      <c r="T32" s="4"/>
      <c r="U32" s="4" t="s">
        <v>47</v>
      </c>
      <c r="V32" s="4"/>
    </row>
    <row r="33" spans="1:22" x14ac:dyDescent="0.25">
      <c r="A33" s="173"/>
      <c r="B33" s="173"/>
      <c r="C33" s="173"/>
      <c r="D33" s="173"/>
      <c r="E33" s="173"/>
      <c r="F33" s="173"/>
      <c r="G33" s="2"/>
      <c r="H33" s="173"/>
      <c r="I33" s="173"/>
      <c r="J33" s="173"/>
      <c r="K33" s="173"/>
      <c r="L33" s="173"/>
      <c r="M33" s="173"/>
      <c r="N33" s="173"/>
      <c r="O33" s="173"/>
      <c r="P33" s="173"/>
      <c r="T33" s="4"/>
      <c r="U33" s="4" t="s">
        <v>48</v>
      </c>
      <c r="V33" s="4"/>
    </row>
    <row r="34" spans="1:22" ht="12.75" customHeight="1" x14ac:dyDescent="0.25">
      <c r="A34" s="173"/>
      <c r="B34" s="173"/>
      <c r="C34" s="193" t="s">
        <v>49</v>
      </c>
      <c r="D34" s="193"/>
      <c r="E34" s="193"/>
      <c r="F34" s="193"/>
      <c r="G34" s="2"/>
      <c r="H34" s="173"/>
      <c r="I34" s="173"/>
      <c r="J34" s="173"/>
      <c r="K34" s="173"/>
      <c r="L34" s="173"/>
      <c r="M34" s="173"/>
      <c r="N34" s="173"/>
      <c r="O34" s="173"/>
      <c r="P34" s="173"/>
      <c r="T34" s="4"/>
      <c r="U34" s="4" t="s">
        <v>50</v>
      </c>
      <c r="V34" s="4"/>
    </row>
    <row r="35" spans="1:22" x14ac:dyDescent="0.25">
      <c r="A35" s="173"/>
      <c r="B35" s="173"/>
      <c r="C35" s="193"/>
      <c r="D35" s="193"/>
      <c r="E35" s="193"/>
      <c r="F35" s="193"/>
      <c r="G35" s="21" t="s">
        <v>51</v>
      </c>
      <c r="H35" s="22">
        <f>'[3]ffy22 Justix'!B12</f>
        <v>196301.45</v>
      </c>
      <c r="I35" s="173" t="str">
        <f>IF(SUM(H35:H35)&lt;&gt;ROUND(SUM(H35:H35),0),"WHOLE DOLLARS","")</f>
        <v>WHOLE DOLLARS</v>
      </c>
      <c r="J35" s="173"/>
      <c r="K35" s="173"/>
      <c r="L35" s="173"/>
      <c r="M35" s="173"/>
      <c r="N35" s="173"/>
      <c r="O35" s="173"/>
      <c r="P35" s="173"/>
      <c r="T35" s="4"/>
      <c r="U35" s="4" t="s">
        <v>52</v>
      </c>
      <c r="V35" s="4"/>
    </row>
    <row r="36" spans="1:22" x14ac:dyDescent="0.25">
      <c r="A36" s="173"/>
      <c r="B36" s="173"/>
      <c r="C36" s="173"/>
      <c r="D36" s="173"/>
      <c r="E36" s="173"/>
      <c r="F36" s="173"/>
      <c r="G36" s="2"/>
      <c r="H36" s="173"/>
      <c r="I36" s="173"/>
      <c r="J36" s="173"/>
      <c r="K36" s="173"/>
      <c r="L36" s="173"/>
      <c r="M36" s="173"/>
      <c r="N36" s="173"/>
      <c r="O36" s="173"/>
      <c r="P36" s="173"/>
      <c r="T36" s="4"/>
      <c r="U36" s="4" t="s">
        <v>53</v>
      </c>
      <c r="V36" s="4"/>
    </row>
    <row r="37" spans="1:22" ht="12.75" customHeight="1" x14ac:dyDescent="0.25">
      <c r="A37" s="173"/>
      <c r="B37" s="173"/>
      <c r="C37" s="193" t="s">
        <v>54</v>
      </c>
      <c r="D37" s="193"/>
      <c r="E37" s="193"/>
      <c r="F37" s="193"/>
      <c r="G37" s="2"/>
      <c r="H37" s="173"/>
      <c r="I37" s="173"/>
      <c r="J37" s="173"/>
      <c r="K37" s="173"/>
      <c r="L37" s="173"/>
      <c r="M37" s="173"/>
      <c r="N37" s="173"/>
      <c r="O37" s="173"/>
      <c r="P37" s="173"/>
      <c r="T37" s="4"/>
      <c r="U37" s="4" t="s">
        <v>55</v>
      </c>
      <c r="V37" s="4"/>
    </row>
    <row r="38" spans="1:22" x14ac:dyDescent="0.25">
      <c r="A38" s="173"/>
      <c r="B38" s="173"/>
      <c r="C38" s="193"/>
      <c r="D38" s="193"/>
      <c r="E38" s="193"/>
      <c r="F38" s="193"/>
      <c r="G38" s="2"/>
      <c r="H38" s="173"/>
      <c r="I38" s="173"/>
      <c r="J38" s="173"/>
      <c r="K38" s="173"/>
      <c r="L38" s="173"/>
      <c r="M38" s="173"/>
      <c r="N38" s="173"/>
      <c r="O38" s="173"/>
      <c r="P38" s="173"/>
      <c r="T38" s="4"/>
      <c r="U38" s="4" t="s">
        <v>56</v>
      </c>
      <c r="V38" s="4"/>
    </row>
    <row r="39" spans="1:22" x14ac:dyDescent="0.25">
      <c r="A39" s="173"/>
      <c r="B39" s="173"/>
      <c r="C39" s="193"/>
      <c r="D39" s="193"/>
      <c r="E39" s="193"/>
      <c r="F39" s="193"/>
      <c r="G39" s="21" t="s">
        <v>57</v>
      </c>
      <c r="H39" s="22">
        <f>'[3]ffy22 Justix'!B13</f>
        <v>190576.38</v>
      </c>
      <c r="I39" s="173" t="str">
        <f>IF(SUM(H39:H39)&lt;&gt;ROUND(SUM(H39:H39),0),"WHOLE DOLLARS","")</f>
        <v>WHOLE DOLLARS</v>
      </c>
      <c r="J39" s="173"/>
      <c r="K39" s="173"/>
      <c r="L39" s="173"/>
      <c r="M39" s="173"/>
      <c r="N39" s="173"/>
      <c r="O39" s="173"/>
      <c r="P39" s="173"/>
      <c r="T39" s="4"/>
      <c r="U39" s="4" t="s">
        <v>58</v>
      </c>
      <c r="V39" s="4"/>
    </row>
    <row r="40" spans="1:22" x14ac:dyDescent="0.25">
      <c r="A40" s="173"/>
      <c r="B40" s="173"/>
      <c r="C40" s="173"/>
      <c r="D40" s="173"/>
      <c r="E40" s="173"/>
      <c r="F40" s="173"/>
      <c r="G40" s="2"/>
      <c r="H40" s="173"/>
      <c r="I40" s="173"/>
      <c r="J40" s="173"/>
      <c r="K40" s="173"/>
      <c r="L40" s="173"/>
      <c r="M40" s="173"/>
      <c r="N40" s="173"/>
      <c r="O40" s="173"/>
      <c r="P40" s="173"/>
      <c r="T40" s="4"/>
      <c r="U40" s="4" t="s">
        <v>59</v>
      </c>
      <c r="V40" s="4"/>
    </row>
    <row r="41" spans="1:22" x14ac:dyDescent="0.25">
      <c r="A41" s="173"/>
      <c r="B41" s="173"/>
      <c r="C41" s="198" t="s">
        <v>60</v>
      </c>
      <c r="D41" s="198"/>
      <c r="E41" s="198"/>
      <c r="F41" s="198"/>
      <c r="G41" s="21" t="s">
        <v>61</v>
      </c>
      <c r="H41" s="22">
        <f>'[3]ffy22 Justix'!B14</f>
        <v>375183.74</v>
      </c>
      <c r="I41" s="173" t="str">
        <f>IF(SUM(H41:H41)&lt;&gt;ROUND(SUM(H41:H41),0),"WHOLE DOLLARS","")</f>
        <v>WHOLE DOLLARS</v>
      </c>
      <c r="J41" s="173"/>
      <c r="K41" s="173"/>
      <c r="L41" s="173"/>
      <c r="M41" s="173"/>
      <c r="N41" s="173"/>
      <c r="O41" s="173"/>
      <c r="P41" s="173"/>
      <c r="T41" s="4"/>
      <c r="U41" s="4" t="s">
        <v>62</v>
      </c>
      <c r="V41" s="4"/>
    </row>
    <row r="42" spans="1:22" x14ac:dyDescent="0.25">
      <c r="A42" s="173"/>
      <c r="B42" s="173"/>
      <c r="C42" s="173"/>
      <c r="D42" s="173"/>
      <c r="E42" s="173"/>
      <c r="F42" s="173"/>
      <c r="G42" s="2"/>
      <c r="H42" s="173"/>
      <c r="I42" s="173"/>
      <c r="J42" s="173"/>
      <c r="K42" s="173"/>
      <c r="L42" s="173"/>
      <c r="M42" s="173"/>
      <c r="N42" s="173"/>
      <c r="O42" s="173"/>
      <c r="P42" s="173"/>
      <c r="T42" s="4"/>
      <c r="U42" s="4" t="s">
        <v>63</v>
      </c>
      <c r="V42" s="4"/>
    </row>
    <row r="43" spans="1:22" ht="12.75" customHeight="1" x14ac:dyDescent="0.25">
      <c r="A43" s="173"/>
      <c r="B43" s="173"/>
      <c r="C43" s="193" t="s">
        <v>64</v>
      </c>
      <c r="D43" s="193"/>
      <c r="E43" s="193"/>
      <c r="F43" s="193"/>
      <c r="G43" s="2"/>
      <c r="H43" s="173"/>
      <c r="I43" s="173"/>
      <c r="J43" s="173"/>
      <c r="K43" s="173"/>
      <c r="L43" s="173"/>
      <c r="M43" s="173"/>
      <c r="N43" s="173"/>
      <c r="O43" s="173"/>
      <c r="P43" s="173"/>
      <c r="T43" s="4"/>
      <c r="U43" s="4" t="s">
        <v>65</v>
      </c>
      <c r="V43" s="4"/>
    </row>
    <row r="44" spans="1:22" ht="12.75" customHeight="1" x14ac:dyDescent="0.25">
      <c r="A44" s="173"/>
      <c r="B44" s="173"/>
      <c r="C44" s="193"/>
      <c r="D44" s="193"/>
      <c r="E44" s="193"/>
      <c r="F44" s="193"/>
      <c r="G44" s="2"/>
      <c r="H44" s="173"/>
      <c r="I44" s="173"/>
      <c r="J44" s="173"/>
      <c r="K44" s="173"/>
      <c r="L44" s="173"/>
      <c r="M44" s="173"/>
      <c r="N44" s="173"/>
      <c r="O44" s="173"/>
      <c r="P44" s="173"/>
      <c r="T44" s="4"/>
      <c r="U44" s="4" t="s">
        <v>66</v>
      </c>
      <c r="V44" s="4"/>
    </row>
    <row r="45" spans="1:22" x14ac:dyDescent="0.25">
      <c r="A45" s="173"/>
      <c r="B45" s="173"/>
      <c r="C45" s="193"/>
      <c r="D45" s="193"/>
      <c r="E45" s="193"/>
      <c r="F45" s="193"/>
      <c r="G45" s="21" t="s">
        <v>67</v>
      </c>
      <c r="H45" s="22">
        <f>'[3]ffy22 Justix'!B15</f>
        <v>194479.96000000002</v>
      </c>
      <c r="I45" s="173" t="str">
        <f>IF(SUM(H45:H45)&lt;&gt;ROUND(SUM(H45:H45),0),"WHOLE DOLLARS","")</f>
        <v>WHOLE DOLLARS</v>
      </c>
      <c r="J45" s="173"/>
      <c r="K45" s="173"/>
      <c r="L45" s="173"/>
      <c r="M45" s="173"/>
      <c r="N45" s="173"/>
      <c r="O45" s="173"/>
      <c r="P45" s="173"/>
      <c r="T45" s="4"/>
      <c r="U45" s="4" t="s">
        <v>68</v>
      </c>
      <c r="V45" s="4"/>
    </row>
    <row r="46" spans="1:22" x14ac:dyDescent="0.25">
      <c r="A46" s="173"/>
      <c r="B46" s="173"/>
      <c r="C46" s="173"/>
      <c r="D46" s="173"/>
      <c r="E46" s="173"/>
      <c r="F46" s="173"/>
      <c r="G46" s="21"/>
      <c r="H46" s="23"/>
      <c r="I46" s="23"/>
      <c r="J46" s="173"/>
      <c r="K46" s="173"/>
      <c r="L46" s="173"/>
      <c r="M46" s="173"/>
      <c r="N46" s="173"/>
      <c r="O46" s="173"/>
      <c r="P46" s="173"/>
      <c r="T46" s="4"/>
      <c r="U46" s="4" t="s">
        <v>69</v>
      </c>
      <c r="V46" s="4"/>
    </row>
    <row r="47" spans="1:22" x14ac:dyDescent="0.25">
      <c r="A47" s="173"/>
      <c r="B47" s="173"/>
      <c r="C47" s="173"/>
      <c r="D47" s="198" t="s">
        <v>70</v>
      </c>
      <c r="E47" s="198"/>
      <c r="F47" s="198"/>
      <c r="G47" s="21"/>
      <c r="H47" s="23">
        <f>SUM(H35:H45)</f>
        <v>956541.53</v>
      </c>
      <c r="I47" s="23" t="s">
        <v>2</v>
      </c>
      <c r="J47" s="172" t="str">
        <f>IF(B32&lt;H47,"PROBLEM - The sum of these 4 activities may not exceed","OK")</f>
        <v>OK</v>
      </c>
      <c r="K47" s="173"/>
      <c r="L47" s="173"/>
      <c r="M47" s="173"/>
      <c r="N47" s="173"/>
      <c r="O47" s="173"/>
      <c r="P47" s="172" t="s">
        <v>2</v>
      </c>
      <c r="T47" s="4"/>
      <c r="U47" s="4" t="s">
        <v>71</v>
      </c>
      <c r="V47" s="4"/>
    </row>
    <row r="48" spans="1:22" x14ac:dyDescent="0.25">
      <c r="A48" s="173"/>
      <c r="B48" s="173"/>
      <c r="C48" s="173"/>
      <c r="D48" s="173"/>
      <c r="E48" s="173"/>
      <c r="F48" s="173"/>
      <c r="G48" s="21"/>
      <c r="H48" s="23"/>
      <c r="I48" s="23"/>
      <c r="J48" s="172" t="str">
        <f>IF(J47&lt;&gt;"OK",(B32),"")</f>
        <v/>
      </c>
      <c r="K48" s="173"/>
      <c r="L48" s="173"/>
      <c r="M48" s="173"/>
      <c r="N48" s="173"/>
      <c r="O48" s="173"/>
      <c r="P48" s="172"/>
      <c r="T48" s="4"/>
      <c r="U48" s="4" t="s">
        <v>72</v>
      </c>
      <c r="V48" s="4"/>
    </row>
    <row r="49" spans="1:22" x14ac:dyDescent="0.25">
      <c r="A49" s="173"/>
      <c r="B49" s="173"/>
      <c r="C49" s="173"/>
      <c r="D49" s="173"/>
      <c r="E49" s="173"/>
      <c r="F49" s="173"/>
      <c r="G49" s="21"/>
      <c r="H49" s="23"/>
      <c r="I49" s="23"/>
      <c r="J49" s="172"/>
      <c r="K49" s="173"/>
      <c r="L49" s="173"/>
      <c r="M49" s="173"/>
      <c r="N49" s="173"/>
      <c r="O49" s="173"/>
      <c r="P49" s="172"/>
      <c r="T49" s="4"/>
      <c r="U49" s="4" t="s">
        <v>73</v>
      </c>
      <c r="V49" s="4"/>
    </row>
    <row r="50" spans="1:22" ht="12.75" customHeight="1" x14ac:dyDescent="0.25">
      <c r="A50" s="173"/>
      <c r="B50" s="193" t="s">
        <v>74</v>
      </c>
      <c r="C50" s="193"/>
      <c r="D50" s="193"/>
      <c r="E50" s="193"/>
      <c r="F50" s="193"/>
      <c r="G50" s="2"/>
      <c r="H50" s="173"/>
      <c r="I50" s="173"/>
      <c r="J50" s="173"/>
      <c r="K50" s="173"/>
      <c r="L50" s="173"/>
      <c r="M50" s="173"/>
      <c r="N50" s="173"/>
      <c r="O50" s="173"/>
      <c r="P50" s="173"/>
      <c r="T50" s="4"/>
      <c r="U50" s="4" t="s">
        <v>75</v>
      </c>
      <c r="V50" s="4"/>
    </row>
    <row r="51" spans="1:22" x14ac:dyDescent="0.25">
      <c r="A51" s="173"/>
      <c r="B51" s="193"/>
      <c r="C51" s="193"/>
      <c r="D51" s="193"/>
      <c r="E51" s="193"/>
      <c r="F51" s="193"/>
      <c r="G51" s="2"/>
      <c r="H51" s="173"/>
      <c r="I51" s="173"/>
      <c r="J51" s="173"/>
      <c r="K51" s="173"/>
      <c r="L51" s="173"/>
      <c r="M51" s="173"/>
      <c r="N51" s="173"/>
      <c r="O51" s="173"/>
      <c r="P51" s="173"/>
      <c r="T51" s="4"/>
      <c r="U51" s="4" t="s">
        <v>76</v>
      </c>
      <c r="V51" s="4"/>
    </row>
    <row r="52" spans="1:22" x14ac:dyDescent="0.25">
      <c r="A52" s="173"/>
      <c r="B52" s="193"/>
      <c r="C52" s="193"/>
      <c r="D52" s="193"/>
      <c r="E52" s="193"/>
      <c r="F52" s="193"/>
      <c r="G52" s="2"/>
      <c r="H52" s="173"/>
      <c r="I52" s="173"/>
      <c r="J52" s="173"/>
      <c r="K52" s="173"/>
      <c r="L52" s="173"/>
      <c r="M52" s="173"/>
      <c r="N52" s="173"/>
      <c r="O52" s="173"/>
      <c r="P52" s="173"/>
      <c r="T52" s="4"/>
      <c r="U52" s="4" t="s">
        <v>77</v>
      </c>
      <c r="V52" s="4"/>
    </row>
    <row r="53" spans="1:22" x14ac:dyDescent="0.25">
      <c r="A53" s="173"/>
      <c r="B53" s="193"/>
      <c r="C53" s="193"/>
      <c r="D53" s="193"/>
      <c r="E53" s="193"/>
      <c r="F53" s="193"/>
      <c r="G53" s="2"/>
      <c r="H53" s="173"/>
      <c r="I53" s="173"/>
      <c r="J53" s="173"/>
      <c r="K53" s="173"/>
      <c r="L53" s="173"/>
      <c r="M53" s="173"/>
      <c r="N53" s="173"/>
      <c r="O53" s="173"/>
      <c r="P53" s="173"/>
      <c r="T53" s="4"/>
      <c r="U53" s="4" t="s">
        <v>78</v>
      </c>
      <c r="V53" s="4"/>
    </row>
    <row r="54" spans="1:22" x14ac:dyDescent="0.25">
      <c r="A54" s="173"/>
      <c r="B54" s="193"/>
      <c r="C54" s="193"/>
      <c r="D54" s="193"/>
      <c r="E54" s="193"/>
      <c r="F54" s="193"/>
      <c r="G54" s="2"/>
      <c r="H54" s="173"/>
      <c r="I54" s="173"/>
      <c r="J54" s="173"/>
      <c r="K54" s="173"/>
      <c r="L54" s="173"/>
      <c r="M54" s="173"/>
      <c r="N54" s="173"/>
      <c r="O54" s="173"/>
      <c r="P54" s="173"/>
      <c r="T54" s="4"/>
      <c r="U54" s="4" t="s">
        <v>79</v>
      </c>
      <c r="V54" s="4"/>
    </row>
    <row r="55" spans="1:22" x14ac:dyDescent="0.25">
      <c r="A55" s="173"/>
      <c r="B55" s="193"/>
      <c r="C55" s="193"/>
      <c r="D55" s="193"/>
      <c r="E55" s="193"/>
      <c r="F55" s="193"/>
      <c r="G55" s="2"/>
      <c r="H55" s="173"/>
      <c r="I55" s="173"/>
      <c r="J55" s="173"/>
      <c r="K55" s="173"/>
      <c r="L55" s="173"/>
      <c r="M55" s="173"/>
      <c r="N55" s="173"/>
      <c r="O55" s="173"/>
      <c r="P55" s="173"/>
      <c r="T55" s="4"/>
      <c r="U55" s="4" t="s">
        <v>80</v>
      </c>
      <c r="V55" s="4"/>
    </row>
    <row r="56" spans="1:22" x14ac:dyDescent="0.25">
      <c r="A56" s="173"/>
      <c r="B56" s="193"/>
      <c r="C56" s="193"/>
      <c r="D56" s="193"/>
      <c r="E56" s="193"/>
      <c r="F56" s="193"/>
      <c r="G56" s="2"/>
      <c r="H56" s="173"/>
      <c r="I56" s="173"/>
      <c r="J56" s="173"/>
      <c r="K56" s="173"/>
      <c r="L56" s="173"/>
      <c r="M56" s="173"/>
      <c r="N56" s="173"/>
      <c r="O56" s="173"/>
      <c r="P56" s="173"/>
      <c r="T56" s="4"/>
      <c r="U56" s="4" t="s">
        <v>81</v>
      </c>
      <c r="V56" s="4"/>
    </row>
    <row r="57" spans="1:22" x14ac:dyDescent="0.25">
      <c r="A57" s="173"/>
      <c r="B57" s="193"/>
      <c r="C57" s="193"/>
      <c r="D57" s="193"/>
      <c r="E57" s="193"/>
      <c r="F57" s="193"/>
      <c r="G57" s="2"/>
      <c r="H57" s="173"/>
      <c r="I57" s="173"/>
      <c r="J57" s="173"/>
      <c r="K57" s="173"/>
      <c r="L57" s="173"/>
      <c r="M57" s="173"/>
      <c r="N57" s="173"/>
      <c r="O57" s="173"/>
      <c r="P57" s="173"/>
      <c r="T57" s="4"/>
      <c r="U57" s="4" t="s">
        <v>82</v>
      </c>
      <c r="V57" s="4"/>
    </row>
    <row r="58" spans="1:22" x14ac:dyDescent="0.25">
      <c r="A58" s="173"/>
      <c r="B58" s="193"/>
      <c r="C58" s="193"/>
      <c r="D58" s="193"/>
      <c r="E58" s="193"/>
      <c r="F58" s="193"/>
      <c r="G58" s="21" t="s">
        <v>83</v>
      </c>
      <c r="H58" s="22"/>
      <c r="I58" s="173" t="str">
        <f>IF(SUM(H58:H58)&lt;&gt;ROUND(SUM(H58:H58),0),"WHOLE DOLLARS","")</f>
        <v/>
      </c>
      <c r="J58" s="173"/>
      <c r="K58" s="173"/>
      <c r="L58" s="173"/>
      <c r="M58" s="173"/>
      <c r="N58" s="173"/>
      <c r="O58" s="173"/>
      <c r="P58" s="173"/>
      <c r="T58" s="4"/>
      <c r="U58" s="4" t="s">
        <v>84</v>
      </c>
      <c r="V58" s="4"/>
    </row>
    <row r="59" spans="1:22" x14ac:dyDescent="0.25">
      <c r="A59" s="173"/>
      <c r="B59" s="173"/>
      <c r="C59" s="173"/>
      <c r="D59" s="173"/>
      <c r="E59" s="173"/>
      <c r="F59" s="173"/>
      <c r="G59" s="21"/>
      <c r="H59" s="23"/>
      <c r="I59" s="23"/>
      <c r="J59" s="172"/>
      <c r="K59" s="173"/>
      <c r="L59" s="173"/>
      <c r="M59" s="173"/>
      <c r="N59" s="173"/>
      <c r="O59" s="173"/>
      <c r="P59" s="172"/>
      <c r="T59" s="4"/>
      <c r="U59" s="4" t="s">
        <v>85</v>
      </c>
      <c r="V59" s="4"/>
    </row>
    <row r="60" spans="1:22" x14ac:dyDescent="0.25">
      <c r="A60" s="173"/>
      <c r="B60" s="173"/>
      <c r="C60" s="173"/>
      <c r="D60" s="173"/>
      <c r="E60" s="173"/>
      <c r="F60" s="173"/>
      <c r="G60" s="21"/>
      <c r="H60" s="23"/>
      <c r="I60" s="23"/>
      <c r="J60" s="172"/>
      <c r="K60" s="173"/>
      <c r="L60" s="173"/>
      <c r="M60" s="173"/>
      <c r="N60" s="173"/>
      <c r="O60" s="173"/>
      <c r="P60" s="172"/>
      <c r="T60" s="4"/>
      <c r="U60" s="4"/>
      <c r="V60" s="4"/>
    </row>
    <row r="61" spans="1:22" x14ac:dyDescent="0.25">
      <c r="A61" s="173"/>
      <c r="B61" s="173"/>
      <c r="C61" s="173"/>
      <c r="D61" s="173"/>
      <c r="E61" s="173"/>
      <c r="F61" s="173"/>
      <c r="G61" s="21"/>
      <c r="H61" s="23"/>
      <c r="I61" s="23"/>
      <c r="J61" s="172"/>
      <c r="K61" s="173"/>
      <c r="L61" s="173"/>
      <c r="M61" s="173"/>
      <c r="N61" s="173"/>
      <c r="O61" s="173"/>
      <c r="P61" s="172"/>
      <c r="T61" s="4"/>
      <c r="U61" s="4"/>
      <c r="V61" s="4"/>
    </row>
    <row r="62" spans="1:22" x14ac:dyDescent="0.25">
      <c r="A62" s="173"/>
      <c r="B62" s="173"/>
      <c r="C62" s="173"/>
      <c r="D62" s="24" t="s">
        <v>86</v>
      </c>
      <c r="E62" s="173"/>
      <c r="F62" s="173"/>
      <c r="G62" s="21"/>
      <c r="H62" s="23"/>
      <c r="I62" s="23">
        <f>SUM(H21:H58)-H47</f>
        <v>7322036</v>
      </c>
      <c r="J62" s="191" t="str">
        <f>IF(I62&gt;SUM(I11:I11),"PROBLEM - You have distributed more funds for Administration than you said you want to set aside for Administration",(IF(I62&lt;SUM(I11:I11),"PROBLEM - You have not distributed as much as you said you wanted to set aside for Administration.","OK")))</f>
        <v>OK</v>
      </c>
      <c r="K62" s="191"/>
      <c r="L62" s="191"/>
      <c r="M62" s="191"/>
      <c r="N62" s="191"/>
      <c r="O62" s="191"/>
      <c r="P62" s="191"/>
      <c r="T62" s="4"/>
      <c r="U62" s="4"/>
      <c r="V62" s="4"/>
    </row>
    <row r="63" spans="1:22" x14ac:dyDescent="0.25">
      <c r="A63" s="173"/>
      <c r="B63" s="173"/>
      <c r="C63" s="173"/>
      <c r="D63" s="24"/>
      <c r="E63" s="173"/>
      <c r="F63" s="173"/>
      <c r="G63" s="21"/>
      <c r="H63" s="23"/>
      <c r="I63" s="23"/>
      <c r="J63" s="191"/>
      <c r="K63" s="191"/>
      <c r="L63" s="191"/>
      <c r="M63" s="191"/>
      <c r="N63" s="191"/>
      <c r="O63" s="191"/>
      <c r="P63" s="191"/>
      <c r="T63" s="4"/>
      <c r="U63" s="26"/>
      <c r="V63" s="4"/>
    </row>
    <row r="64" spans="1:22" x14ac:dyDescent="0.25">
      <c r="A64" s="173"/>
      <c r="B64" s="173"/>
      <c r="C64" s="173"/>
      <c r="D64" s="173"/>
      <c r="E64" s="173"/>
      <c r="F64" s="173"/>
      <c r="G64" s="21"/>
      <c r="H64" s="23"/>
      <c r="I64" s="23"/>
      <c r="J64" s="191" t="str">
        <f>IF(I62&lt;&gt;SUM(I11:I11),"The difference between what you said you wanted to set aside and the details of what you have set aside is","")</f>
        <v/>
      </c>
      <c r="K64" s="191"/>
      <c r="L64" s="191"/>
      <c r="M64" s="191"/>
      <c r="N64" s="191"/>
      <c r="O64" s="191"/>
      <c r="P64" s="191"/>
      <c r="T64" s="4"/>
      <c r="U64" s="4"/>
      <c r="V64" s="4"/>
    </row>
    <row r="65" spans="1:22" x14ac:dyDescent="0.25">
      <c r="A65" s="173"/>
      <c r="B65" s="173"/>
      <c r="C65" s="173"/>
      <c r="D65" s="173"/>
      <c r="E65" s="173"/>
      <c r="F65" s="173"/>
      <c r="G65" s="21"/>
      <c r="H65" s="23"/>
      <c r="I65" s="23"/>
      <c r="J65" s="191"/>
      <c r="K65" s="191"/>
      <c r="L65" s="191"/>
      <c r="M65" s="191"/>
      <c r="N65" s="191"/>
      <c r="O65" s="191"/>
      <c r="P65" s="191"/>
      <c r="T65" s="4"/>
      <c r="U65" s="4"/>
      <c r="V65" s="4"/>
    </row>
    <row r="66" spans="1:22" x14ac:dyDescent="0.25">
      <c r="A66" s="173"/>
      <c r="B66" s="173"/>
      <c r="C66" s="173"/>
      <c r="D66" s="173"/>
      <c r="E66" s="173"/>
      <c r="F66" s="173"/>
      <c r="G66" s="21"/>
      <c r="H66" s="23"/>
      <c r="I66" s="23"/>
      <c r="J66" s="172" t="str">
        <f>IF(I62&gt;SUM(I11:I11),I62-SUM(I11:I11),(IF(I62&lt;SUM(I11:I11),SUM(I11:I11)-I62,"")))</f>
        <v/>
      </c>
      <c r="K66" s="173"/>
      <c r="L66" s="173"/>
      <c r="M66" s="173"/>
      <c r="N66" s="173"/>
      <c r="O66" s="173"/>
      <c r="P66" s="173"/>
      <c r="T66" s="4"/>
      <c r="U66" s="4"/>
      <c r="V66" s="4"/>
    </row>
    <row r="67" spans="1:22" x14ac:dyDescent="0.25">
      <c r="A67" s="173"/>
      <c r="B67" s="173"/>
      <c r="C67" s="173"/>
      <c r="D67" s="173"/>
      <c r="E67" s="173"/>
      <c r="F67" s="173"/>
      <c r="G67" s="2"/>
      <c r="H67" s="173"/>
      <c r="I67" s="173"/>
      <c r="J67" s="173"/>
      <c r="K67" s="173"/>
      <c r="L67" s="173"/>
      <c r="M67" s="173"/>
      <c r="N67" s="173"/>
      <c r="O67" s="173"/>
      <c r="P67" s="173"/>
    </row>
    <row r="68" spans="1:22" x14ac:dyDescent="0.25">
      <c r="A68" s="174" t="s">
        <v>87</v>
      </c>
      <c r="B68" s="173"/>
      <c r="C68" s="173"/>
      <c r="D68" s="173"/>
      <c r="E68" s="173"/>
      <c r="F68" s="173"/>
      <c r="G68" s="2"/>
      <c r="H68" s="173"/>
      <c r="I68" s="173"/>
      <c r="J68" s="173"/>
      <c r="K68" s="173"/>
      <c r="L68" s="173"/>
      <c r="M68" s="173"/>
      <c r="N68" s="173"/>
      <c r="O68" s="173"/>
      <c r="P68" s="173"/>
    </row>
    <row r="69" spans="1:22" x14ac:dyDescent="0.25">
      <c r="A69" s="174"/>
      <c r="B69" s="173"/>
      <c r="C69" s="173"/>
      <c r="D69" s="173"/>
      <c r="E69" s="173"/>
      <c r="F69" s="173"/>
      <c r="G69" s="2"/>
      <c r="H69" s="173"/>
      <c r="I69" s="173"/>
      <c r="J69" s="173"/>
      <c r="K69" s="173"/>
      <c r="L69" s="173"/>
      <c r="M69" s="173"/>
      <c r="N69" s="173"/>
      <c r="O69" s="173"/>
      <c r="P69" s="173"/>
    </row>
    <row r="70" spans="1:22" ht="12.75" customHeight="1" x14ac:dyDescent="0.25">
      <c r="A70" s="193" t="s">
        <v>88</v>
      </c>
      <c r="B70" s="193"/>
      <c r="C70" s="193"/>
      <c r="D70" s="193"/>
      <c r="E70" s="193"/>
      <c r="F70" s="193"/>
      <c r="G70" s="2"/>
      <c r="H70" s="173"/>
      <c r="I70" s="173"/>
      <c r="J70" s="173"/>
      <c r="K70" s="173"/>
      <c r="L70" s="173"/>
      <c r="M70" s="173"/>
      <c r="N70" s="173"/>
      <c r="O70" s="173"/>
      <c r="P70" s="173"/>
    </row>
    <row r="71" spans="1:22" x14ac:dyDescent="0.25">
      <c r="A71" s="193"/>
      <c r="B71" s="193"/>
      <c r="C71" s="193"/>
      <c r="D71" s="193"/>
      <c r="E71" s="193"/>
      <c r="F71" s="193"/>
      <c r="G71" s="2"/>
      <c r="H71" s="173"/>
      <c r="I71" s="173"/>
      <c r="J71" s="173"/>
      <c r="K71" s="173"/>
      <c r="L71" s="173"/>
      <c r="M71" s="173"/>
      <c r="N71" s="173"/>
      <c r="O71" s="173"/>
      <c r="P71" s="173"/>
    </row>
    <row r="72" spans="1:22" x14ac:dyDescent="0.25">
      <c r="A72" s="193"/>
      <c r="B72" s="193"/>
      <c r="C72" s="193"/>
      <c r="D72" s="193"/>
      <c r="E72" s="193"/>
      <c r="F72" s="193"/>
      <c r="G72" s="21"/>
      <c r="H72" s="23">
        <f xml:space="preserve"> (E2)</f>
        <v>36336185.146161489</v>
      </c>
      <c r="I72" s="23" t="s">
        <v>2</v>
      </c>
      <c r="J72" s="173"/>
      <c r="K72" s="173"/>
      <c r="L72" s="173"/>
      <c r="M72" s="173"/>
      <c r="N72" s="173"/>
      <c r="O72" s="173"/>
      <c r="P72" s="173"/>
    </row>
    <row r="73" spans="1:22" ht="12.75" customHeight="1" x14ac:dyDescent="0.25">
      <c r="A73" s="193" t="s">
        <v>89</v>
      </c>
      <c r="B73" s="193"/>
      <c r="C73" s="193"/>
      <c r="D73" s="193"/>
      <c r="E73" s="193"/>
      <c r="F73" s="193"/>
      <c r="G73" s="2"/>
      <c r="H73" s="173"/>
      <c r="I73" s="173"/>
      <c r="J73" s="173"/>
      <c r="K73" s="173"/>
      <c r="L73" s="173"/>
      <c r="M73" s="173"/>
      <c r="N73" s="173"/>
      <c r="O73" s="173"/>
      <c r="P73" s="173"/>
    </row>
    <row r="74" spans="1:22" x14ac:dyDescent="0.25">
      <c r="A74" s="193"/>
      <c r="B74" s="193"/>
      <c r="C74" s="193"/>
      <c r="D74" s="193"/>
      <c r="E74" s="193"/>
      <c r="F74" s="193"/>
      <c r="G74" s="2"/>
      <c r="H74" s="23" t="s">
        <v>2</v>
      </c>
      <c r="I74" s="23" t="s">
        <v>2</v>
      </c>
      <c r="J74" s="173"/>
      <c r="K74" s="173"/>
      <c r="L74" s="173"/>
      <c r="M74" s="173"/>
      <c r="N74" s="173"/>
      <c r="O74" s="173"/>
      <c r="P74" s="173"/>
    </row>
    <row r="75" spans="1:22" x14ac:dyDescent="0.25">
      <c r="A75" s="174"/>
      <c r="B75" s="173"/>
      <c r="C75" s="173"/>
      <c r="D75" s="173"/>
      <c r="E75" s="173"/>
      <c r="F75" s="173"/>
      <c r="G75" s="2"/>
      <c r="H75" s="173"/>
      <c r="I75" s="173"/>
      <c r="J75" s="173"/>
      <c r="K75" s="173"/>
      <c r="L75" s="173"/>
      <c r="M75" s="173"/>
      <c r="N75" s="173"/>
      <c r="O75" s="173"/>
      <c r="P75" s="173"/>
    </row>
    <row r="76" spans="1:22" ht="12.75" customHeight="1" x14ac:dyDescent="0.25">
      <c r="A76" s="193" t="s">
        <v>90</v>
      </c>
      <c r="B76" s="193"/>
      <c r="C76" s="193"/>
      <c r="D76" s="193"/>
      <c r="E76" s="193"/>
      <c r="F76" s="193"/>
      <c r="G76" s="2"/>
      <c r="H76" s="173"/>
      <c r="I76" s="173"/>
      <c r="J76" s="173"/>
      <c r="K76" s="173"/>
      <c r="L76" s="173"/>
      <c r="M76" s="173"/>
      <c r="N76" s="173"/>
      <c r="O76" s="173"/>
      <c r="P76" s="173"/>
    </row>
    <row r="77" spans="1:22" x14ac:dyDescent="0.25">
      <c r="A77" s="193"/>
      <c r="B77" s="193"/>
      <c r="C77" s="193"/>
      <c r="D77" s="193"/>
      <c r="E77" s="193"/>
      <c r="F77" s="193"/>
      <c r="G77" s="2"/>
      <c r="H77" s="173"/>
      <c r="I77" s="173"/>
      <c r="J77" s="173"/>
      <c r="K77" s="173"/>
      <c r="L77" s="173"/>
      <c r="M77" s="173"/>
      <c r="N77" s="173"/>
      <c r="O77" s="173"/>
      <c r="P77" s="173"/>
    </row>
    <row r="78" spans="1:22" x14ac:dyDescent="0.25">
      <c r="A78" s="193"/>
      <c r="B78" s="193"/>
      <c r="C78" s="193"/>
      <c r="D78" s="193"/>
      <c r="E78" s="193"/>
      <c r="F78" s="193"/>
      <c r="G78" s="21"/>
      <c r="H78" s="23">
        <f>(F2)</f>
        <v>32515544.440138914</v>
      </c>
      <c r="I78" s="23" t="s">
        <v>2</v>
      </c>
      <c r="J78" s="173"/>
      <c r="K78" s="173"/>
      <c r="L78" s="173"/>
      <c r="M78" s="173"/>
      <c r="N78" s="173"/>
      <c r="O78" s="173"/>
      <c r="P78" s="173"/>
    </row>
    <row r="79" spans="1:22" x14ac:dyDescent="0.25">
      <c r="A79" s="174"/>
      <c r="B79" s="173"/>
      <c r="C79" s="173"/>
      <c r="D79" s="173"/>
      <c r="E79" s="173"/>
      <c r="F79" s="173"/>
      <c r="G79" s="2"/>
      <c r="H79" s="173"/>
      <c r="I79" s="173"/>
      <c r="J79" s="173"/>
      <c r="K79" s="173"/>
      <c r="L79" s="173"/>
      <c r="M79" s="173"/>
      <c r="N79" s="173"/>
      <c r="O79" s="173"/>
      <c r="P79" s="173"/>
    </row>
    <row r="80" spans="1:22" ht="12.75" customHeight="1" x14ac:dyDescent="0.25">
      <c r="A80" s="193" t="s">
        <v>91</v>
      </c>
      <c r="B80" s="193"/>
      <c r="C80" s="193"/>
      <c r="D80" s="193"/>
      <c r="E80" s="193"/>
      <c r="F80" s="193"/>
      <c r="G80" s="2"/>
      <c r="H80" s="173"/>
      <c r="I80" s="173"/>
      <c r="J80" s="173"/>
      <c r="K80" s="173"/>
      <c r="L80" s="173"/>
      <c r="M80" s="173"/>
      <c r="N80" s="173"/>
      <c r="O80" s="173"/>
      <c r="P80" s="173"/>
    </row>
    <row r="81" spans="1:16" customFormat="1" x14ac:dyDescent="0.25">
      <c r="A81" s="193"/>
      <c r="B81" s="193"/>
      <c r="C81" s="193"/>
      <c r="D81" s="193"/>
      <c r="E81" s="193"/>
      <c r="F81" s="193"/>
      <c r="G81" s="2"/>
      <c r="H81" s="173"/>
      <c r="I81" s="173"/>
      <c r="J81" s="173"/>
      <c r="K81" s="173"/>
      <c r="L81" s="173"/>
      <c r="M81" s="173"/>
      <c r="N81" s="173"/>
      <c r="O81" s="173"/>
      <c r="P81" s="173"/>
    </row>
    <row r="82" spans="1:16" customFormat="1" x14ac:dyDescent="0.25">
      <c r="A82" s="193"/>
      <c r="B82" s="193"/>
      <c r="C82" s="193"/>
      <c r="D82" s="193"/>
      <c r="E82" s="193"/>
      <c r="F82" s="193"/>
      <c r="G82" s="21"/>
      <c r="H82" s="23">
        <f>(G2)</f>
        <v>38152994.403469577</v>
      </c>
      <c r="I82" s="23" t="s">
        <v>2</v>
      </c>
      <c r="J82" s="173"/>
      <c r="K82" s="173"/>
      <c r="L82" s="173"/>
      <c r="M82" s="173"/>
      <c r="N82" s="173"/>
      <c r="O82" s="173"/>
      <c r="P82" s="173"/>
    </row>
    <row r="83" spans="1:16" customFormat="1" ht="12.75" customHeight="1" x14ac:dyDescent="0.25">
      <c r="A83" s="193" t="s">
        <v>89</v>
      </c>
      <c r="B83" s="193"/>
      <c r="C83" s="193"/>
      <c r="D83" s="193"/>
      <c r="E83" s="193"/>
      <c r="F83" s="193"/>
      <c r="G83" s="2"/>
      <c r="H83" s="173"/>
      <c r="I83" s="173"/>
      <c r="J83" s="173"/>
      <c r="K83" s="173"/>
      <c r="L83" s="173"/>
      <c r="M83" s="173"/>
      <c r="N83" s="173"/>
      <c r="O83" s="173"/>
      <c r="P83" s="173"/>
    </row>
    <row r="84" spans="1:16" customFormat="1" x14ac:dyDescent="0.25">
      <c r="A84" s="193"/>
      <c r="B84" s="193"/>
      <c r="C84" s="193"/>
      <c r="D84" s="193"/>
      <c r="E84" s="193"/>
      <c r="F84" s="193"/>
      <c r="G84" s="2"/>
      <c r="H84" s="173"/>
      <c r="I84" s="173"/>
      <c r="J84" s="173"/>
      <c r="K84" s="173"/>
      <c r="L84" s="173"/>
      <c r="M84" s="173"/>
      <c r="N84" s="173"/>
      <c r="O84" s="173"/>
      <c r="P84" s="173"/>
    </row>
    <row r="85" spans="1:16" customFormat="1" x14ac:dyDescent="0.25">
      <c r="A85" s="173"/>
      <c r="B85" s="173"/>
      <c r="C85" s="173"/>
      <c r="D85" s="173"/>
      <c r="E85" s="173"/>
      <c r="F85" s="173"/>
      <c r="G85" s="2"/>
      <c r="H85" s="173"/>
      <c r="I85" s="173"/>
      <c r="J85" s="173"/>
      <c r="K85" s="173"/>
      <c r="L85" s="173"/>
      <c r="M85" s="173"/>
      <c r="N85" s="173"/>
      <c r="O85" s="173"/>
      <c r="P85" s="173"/>
    </row>
    <row r="86" spans="1:16" customFormat="1" ht="12.75" customHeight="1" x14ac:dyDescent="0.25">
      <c r="A86" s="193" t="s">
        <v>92</v>
      </c>
      <c r="B86" s="193"/>
      <c r="C86" s="193"/>
      <c r="D86" s="193"/>
      <c r="E86" s="193"/>
      <c r="F86" s="193"/>
      <c r="G86" s="2"/>
      <c r="H86" s="173"/>
      <c r="I86" s="173"/>
      <c r="J86" s="173"/>
      <c r="K86" s="173"/>
      <c r="L86" s="173"/>
      <c r="M86" s="173"/>
      <c r="N86" s="173"/>
      <c r="O86" s="173"/>
      <c r="P86" s="173"/>
    </row>
    <row r="87" spans="1:16" customFormat="1" x14ac:dyDescent="0.25">
      <c r="A87" s="193"/>
      <c r="B87" s="193"/>
      <c r="C87" s="193"/>
      <c r="D87" s="193"/>
      <c r="E87" s="193"/>
      <c r="F87" s="193"/>
      <c r="G87" s="2"/>
      <c r="H87" s="173"/>
      <c r="I87" s="173"/>
      <c r="J87" s="173"/>
      <c r="K87" s="173"/>
      <c r="L87" s="173"/>
      <c r="M87" s="173"/>
      <c r="N87" s="173"/>
      <c r="O87" s="173"/>
      <c r="P87" s="173"/>
    </row>
    <row r="88" spans="1:16" customFormat="1" x14ac:dyDescent="0.25">
      <c r="A88" s="193"/>
      <c r="B88" s="193"/>
      <c r="C88" s="193"/>
      <c r="D88" s="193"/>
      <c r="E88" s="193"/>
      <c r="F88" s="193"/>
      <c r="G88" s="21"/>
      <c r="H88" s="23">
        <f>(H2)</f>
        <v>34519375.888853408</v>
      </c>
      <c r="I88" s="23" t="s">
        <v>2</v>
      </c>
      <c r="J88" s="173"/>
      <c r="K88" s="173"/>
      <c r="L88" s="173"/>
      <c r="M88" s="173"/>
      <c r="N88" s="173"/>
      <c r="O88" s="173"/>
      <c r="P88" s="173"/>
    </row>
    <row r="89" spans="1:16" customFormat="1" x14ac:dyDescent="0.25">
      <c r="A89" s="173"/>
      <c r="B89" s="173"/>
      <c r="C89" s="173"/>
      <c r="D89" s="173"/>
      <c r="E89" s="173"/>
      <c r="F89" s="173"/>
      <c r="G89" s="2"/>
      <c r="H89" s="173"/>
      <c r="I89" s="173"/>
      <c r="J89" s="173"/>
      <c r="K89" s="173"/>
      <c r="L89" s="173"/>
      <c r="M89" s="173"/>
      <c r="N89" s="173"/>
      <c r="O89" s="173"/>
      <c r="P89" s="173"/>
    </row>
    <row r="90" spans="1:16" customFormat="1" x14ac:dyDescent="0.25">
      <c r="A90" s="173"/>
      <c r="B90" s="173"/>
      <c r="C90" s="173"/>
      <c r="D90" s="173"/>
      <c r="E90" s="173"/>
      <c r="F90" s="173"/>
      <c r="G90" s="2"/>
      <c r="H90" s="173"/>
      <c r="I90" s="173"/>
      <c r="J90" s="173"/>
      <c r="K90" s="173"/>
      <c r="L90" s="173"/>
      <c r="M90" s="173"/>
      <c r="N90" s="173"/>
      <c r="O90" s="173"/>
      <c r="P90" s="173"/>
    </row>
    <row r="91" spans="1:16" customFormat="1" x14ac:dyDescent="0.25">
      <c r="A91" s="199" t="s">
        <v>93</v>
      </c>
      <c r="B91" s="199"/>
      <c r="C91" s="199"/>
      <c r="D91" s="199"/>
      <c r="E91" s="199"/>
      <c r="F91" s="199"/>
      <c r="G91" s="2"/>
      <c r="H91" s="28" t="s">
        <v>94</v>
      </c>
      <c r="I91" s="29"/>
      <c r="J91" s="174" t="str">
        <f>IF(AND((H91&lt;&gt;"Yes"),(H91&lt;&gt;"YES"),(H91&lt;&gt;"Y"),(H91&lt;&gt;"yes"),(H91&lt;&gt;"y"),(H91&lt;&gt;"No"),(H91&lt;&gt;"no"),(H91&lt;&gt;"N"),(H91&lt;&gt;"no"),(H91&lt;&gt;"n")),"PROBLEM - You must indicate 'Yes' or 'No'.","  ")</f>
        <v xml:space="preserve">  </v>
      </c>
      <c r="K91" s="173"/>
      <c r="L91" s="173"/>
      <c r="M91" s="173"/>
      <c r="N91" s="173"/>
      <c r="O91" s="173"/>
      <c r="P91" s="173"/>
    </row>
    <row r="92" spans="1:16" customFormat="1" x14ac:dyDescent="0.25">
      <c r="A92" s="174"/>
      <c r="B92" s="173"/>
      <c r="C92" s="173"/>
      <c r="D92" s="173"/>
      <c r="E92" s="173"/>
      <c r="F92" s="173"/>
      <c r="G92" s="2"/>
      <c r="H92" s="173"/>
      <c r="I92" s="29"/>
      <c r="J92" s="30" t="s">
        <v>95</v>
      </c>
      <c r="K92" s="173"/>
      <c r="L92" s="173"/>
      <c r="M92" s="173"/>
      <c r="N92" s="173"/>
      <c r="O92" s="173"/>
      <c r="P92" s="173"/>
    </row>
    <row r="93" spans="1:16" customFormat="1" x14ac:dyDescent="0.25">
      <c r="A93" s="174"/>
      <c r="B93" s="198" t="s">
        <v>96</v>
      </c>
      <c r="C93" s="198"/>
      <c r="D93" s="198"/>
      <c r="E93" s="198"/>
      <c r="F93" s="198"/>
      <c r="G93" s="2"/>
      <c r="H93" s="19"/>
      <c r="I93" s="29"/>
      <c r="J93" s="30" t="s">
        <v>94</v>
      </c>
      <c r="K93" s="173"/>
      <c r="L93" s="173"/>
      <c r="M93" s="173"/>
      <c r="N93" s="173"/>
      <c r="O93" s="173"/>
      <c r="P93" s="173"/>
    </row>
    <row r="94" spans="1:16" customFormat="1" x14ac:dyDescent="0.25">
      <c r="A94" s="174"/>
      <c r="B94" s="198" t="s">
        <v>97</v>
      </c>
      <c r="C94" s="198"/>
      <c r="D94" s="198"/>
      <c r="E94" s="198"/>
      <c r="F94" s="198"/>
      <c r="G94" s="2"/>
      <c r="H94" s="173" t="s">
        <v>2</v>
      </c>
      <c r="I94" s="29"/>
      <c r="J94" s="5"/>
      <c r="K94" s="173"/>
      <c r="L94" s="173"/>
      <c r="M94" s="173"/>
      <c r="N94" s="173"/>
      <c r="O94" s="173"/>
      <c r="P94" s="173"/>
    </row>
    <row r="95" spans="1:16" customFormat="1" x14ac:dyDescent="0.25">
      <c r="A95" s="174"/>
      <c r="B95" s="197" t="str">
        <f>IF(OR((H91="Yes"),(H91="YES"),(H91="Y"),(H91="yes"),(H91="y")),"TO",IF(OR((H91="No"),(H91="NO"),(H91="N"),(H91="no"),(H91="n")),"NOT TO","WHAT?"))</f>
        <v>NOT TO</v>
      </c>
      <c r="C95" s="197"/>
      <c r="D95" s="173" t="s">
        <v>98</v>
      </c>
      <c r="E95" s="173"/>
      <c r="F95" s="173"/>
      <c r="G95" s="2"/>
      <c r="H95" s="173"/>
      <c r="I95" s="29"/>
      <c r="J95" s="173"/>
      <c r="K95" s="173"/>
      <c r="L95" s="173"/>
      <c r="M95" s="173"/>
      <c r="N95" s="173"/>
      <c r="O95" s="173"/>
      <c r="P95" s="173"/>
    </row>
    <row r="96" spans="1:16" customFormat="1" x14ac:dyDescent="0.25">
      <c r="A96" s="174"/>
      <c r="B96" s="198" t="s">
        <v>99</v>
      </c>
      <c r="C96" s="198"/>
      <c r="D96" s="198"/>
      <c r="E96" s="198"/>
      <c r="F96" s="198"/>
      <c r="G96" s="21"/>
      <c r="H96" s="23">
        <f>ROUND(IF(AND((B95="TO"),(I11&gt;850000)),H72,IF(AND((B95="NOT TO"),(I11&gt;850000)),H78,IF(AND((B95="TO"),(I11&lt;=850000)),H82,IF(AND((B95="NOT TO"),(I11&lt;=850000)),H88,"")))),0)</f>
        <v>32515544</v>
      </c>
      <c r="I96" s="31" t="str">
        <f>IF(AND((I11&gt;850000),(J92=".")),I72,(IF(AND((I11&gt;850000),(J92&lt;&gt;".")),I78,(IF(AND((I11&lt;=850000),(J92=".")),I82,(IF(AND((I11&lt;=850000),(J92&lt;&gt;".")),I88," ")))))))</f>
        <v xml:space="preserve"> </v>
      </c>
      <c r="J96" s="173"/>
      <c r="K96" s="173"/>
      <c r="L96" s="173"/>
      <c r="M96" s="173"/>
      <c r="N96" s="173"/>
      <c r="O96" s="173"/>
      <c r="P96" s="173"/>
    </row>
    <row r="97" spans="1:16" customFormat="1" x14ac:dyDescent="0.25">
      <c r="A97" s="173"/>
      <c r="B97" s="173"/>
      <c r="C97" s="173"/>
      <c r="D97" s="173"/>
      <c r="E97" s="173"/>
      <c r="F97" s="173"/>
      <c r="G97" s="2"/>
      <c r="H97" s="174"/>
      <c r="I97" s="173" t="str">
        <f>IF(SUM(I98:I98)&lt;&gt;ROUND(SUM(I98:I98),0),"WHOLE DOLLARS","")</f>
        <v/>
      </c>
      <c r="J97" s="173"/>
      <c r="K97" s="173"/>
      <c r="L97" s="173"/>
      <c r="M97" s="173"/>
      <c r="N97" s="173"/>
      <c r="O97" s="173"/>
      <c r="P97" s="173"/>
    </row>
    <row r="98" spans="1:16" customFormat="1" x14ac:dyDescent="0.25">
      <c r="A98" s="199" t="s">
        <v>100</v>
      </c>
      <c r="B98" s="199"/>
      <c r="C98" s="199"/>
      <c r="D98" s="199"/>
      <c r="E98" s="199"/>
      <c r="F98" s="199"/>
      <c r="G98" s="21"/>
      <c r="H98" s="174"/>
      <c r="I98" s="22">
        <v>32515544</v>
      </c>
      <c r="J98" s="174" t="str">
        <f>IF(SUM(I98:I98)&lt;=H96,"OK","PROBLEM - You want to set aside more than is allowed.")</f>
        <v>OK</v>
      </c>
      <c r="K98" s="173"/>
      <c r="L98" s="173"/>
      <c r="M98" s="173"/>
      <c r="N98" s="173"/>
      <c r="O98" s="173"/>
      <c r="P98" s="173"/>
    </row>
    <row r="99" spans="1:16" customFormat="1" x14ac:dyDescent="0.25">
      <c r="A99" s="174"/>
      <c r="B99" s="174"/>
      <c r="C99" s="174"/>
      <c r="D99" s="174"/>
      <c r="E99" s="174"/>
      <c r="F99" s="174"/>
      <c r="G99" s="21"/>
      <c r="H99" s="174"/>
      <c r="I99" s="32">
        <f>IF(B95="TO",H82-H96,IF(B95="NOT TO",H88-H96," "))</f>
        <v>2003831.8888534084</v>
      </c>
      <c r="J99" s="174" t="str">
        <f>IF(AND(((SUM(I11:I11)-850000)&lt;I99),((SUM(I11:I11)-850000)&gt;0)),"NOTE","")</f>
        <v/>
      </c>
      <c r="K99" s="173"/>
      <c r="L99" s="173"/>
      <c r="M99" s="173"/>
      <c r="N99" s="173"/>
      <c r="O99" s="173"/>
      <c r="P99" s="173"/>
    </row>
    <row r="100" spans="1:16" customFormat="1" x14ac:dyDescent="0.25">
      <c r="A100" s="174"/>
      <c r="B100" s="174"/>
      <c r="C100" s="174"/>
      <c r="D100" s="174"/>
      <c r="E100" s="174"/>
      <c r="F100" s="174"/>
      <c r="G100" s="21"/>
      <c r="H100" s="174"/>
      <c r="I100" s="33"/>
      <c r="J100" s="173" t="str">
        <f>IF(J99="NOTE","The amount that you have proposed to set aside for Administration is only","")</f>
        <v/>
      </c>
      <c r="K100" s="173"/>
      <c r="L100" s="173"/>
      <c r="M100" s="173"/>
      <c r="N100" s="173"/>
      <c r="O100" s="173"/>
      <c r="P100" s="173"/>
    </row>
    <row r="101" spans="1:16" customFormat="1" x14ac:dyDescent="0.25">
      <c r="A101" s="174"/>
      <c r="B101" s="174"/>
      <c r="C101" s="174"/>
      <c r="D101" s="174"/>
      <c r="E101" s="174"/>
      <c r="F101" s="174"/>
      <c r="G101" s="21"/>
      <c r="H101" s="174"/>
      <c r="I101" s="23"/>
      <c r="J101" s="34" t="str">
        <f>IF(J99="NOTE",(I11-850000),"")</f>
        <v/>
      </c>
      <c r="K101" s="35" t="str">
        <f>IF(J99="NOTE","more than $850,000.  If you were to reduce the amount"," ")</f>
        <v xml:space="preserve"> </v>
      </c>
      <c r="L101" s="173"/>
      <c r="M101" s="173"/>
      <c r="N101" s="173"/>
      <c r="O101" s="173"/>
      <c r="P101" s="173"/>
    </row>
    <row r="102" spans="1:16" customFormat="1" x14ac:dyDescent="0.25">
      <c r="A102" s="173"/>
      <c r="B102" s="173"/>
      <c r="C102" s="173"/>
      <c r="D102" s="173"/>
      <c r="E102" s="173"/>
      <c r="F102" s="173"/>
      <c r="G102" s="2"/>
      <c r="H102" s="173"/>
      <c r="I102" s="173"/>
      <c r="J102" s="173" t="str">
        <f>IF(J99="NOTE","that you set aside for Administration by that amount, the maximum amount"," ")</f>
        <v xml:space="preserve"> </v>
      </c>
      <c r="K102" s="173"/>
      <c r="L102" s="173"/>
      <c r="M102" s="173"/>
      <c r="N102" s="173"/>
      <c r="O102" s="173"/>
      <c r="P102" s="173"/>
    </row>
    <row r="103" spans="1:16" customFormat="1" x14ac:dyDescent="0.25">
      <c r="A103" s="173"/>
      <c r="B103" s="173"/>
      <c r="C103" s="173"/>
      <c r="D103" s="173"/>
      <c r="E103" s="173"/>
      <c r="F103" s="173"/>
      <c r="G103" s="2"/>
      <c r="H103" s="173"/>
      <c r="I103" s="173"/>
      <c r="J103" s="173" t="str">
        <f>IF(J99="NOTE","that you could set aside for Other State-Level Activities would increase by"," ")</f>
        <v xml:space="preserve"> </v>
      </c>
      <c r="K103" s="173"/>
      <c r="L103" s="173"/>
      <c r="M103" s="173"/>
      <c r="N103" s="173"/>
      <c r="O103" s="173"/>
      <c r="P103" s="173"/>
    </row>
    <row r="104" spans="1:16" customFormat="1" x14ac:dyDescent="0.25">
      <c r="A104" s="173"/>
      <c r="B104" s="173"/>
      <c r="C104" s="173"/>
      <c r="D104" s="173"/>
      <c r="E104" s="173"/>
      <c r="F104" s="173"/>
      <c r="G104" s="2"/>
      <c r="H104" s="173"/>
      <c r="I104" s="173"/>
      <c r="J104" s="23" t="str">
        <f>IF(J99="NOTE",I99," ")</f>
        <v xml:space="preserve"> </v>
      </c>
      <c r="K104" s="173"/>
      <c r="L104" s="173"/>
      <c r="M104" s="173"/>
      <c r="N104" s="173"/>
      <c r="O104" s="173"/>
      <c r="P104" s="173"/>
    </row>
    <row r="105" spans="1:16" customFormat="1" x14ac:dyDescent="0.25">
      <c r="A105" s="199" t="s">
        <v>101</v>
      </c>
      <c r="B105" s="199"/>
      <c r="C105" s="199"/>
      <c r="D105" s="199"/>
      <c r="E105" s="199"/>
      <c r="F105" s="199"/>
      <c r="G105" s="2"/>
      <c r="H105" s="173"/>
      <c r="I105" s="173"/>
      <c r="J105" s="36" t="s">
        <v>2</v>
      </c>
      <c r="K105" s="173" t="s">
        <v>2</v>
      </c>
      <c r="L105" s="173"/>
      <c r="M105" s="173"/>
      <c r="N105" s="173"/>
      <c r="O105" s="173"/>
      <c r="P105" s="173"/>
    </row>
    <row r="106" spans="1:16" customFormat="1" x14ac:dyDescent="0.25">
      <c r="A106" s="199" t="s">
        <v>102</v>
      </c>
      <c r="B106" s="199"/>
      <c r="C106" s="199"/>
      <c r="D106" s="199"/>
      <c r="E106" s="199"/>
      <c r="F106" s="199"/>
      <c r="G106" s="2"/>
      <c r="H106" s="173"/>
      <c r="I106" s="173"/>
      <c r="J106" s="23"/>
      <c r="K106" s="173"/>
      <c r="L106" s="173"/>
      <c r="M106" s="173"/>
      <c r="N106" s="173"/>
      <c r="O106" s="173"/>
      <c r="P106" s="173"/>
    </row>
    <row r="107" spans="1:16" customFormat="1" x14ac:dyDescent="0.25">
      <c r="A107" s="174" t="s">
        <v>103</v>
      </c>
      <c r="B107" s="174"/>
      <c r="C107" s="174"/>
      <c r="D107" s="174"/>
      <c r="E107" s="174"/>
      <c r="F107" s="174"/>
      <c r="G107" s="2"/>
      <c r="H107" s="173"/>
      <c r="I107" s="173"/>
      <c r="J107" s="23"/>
      <c r="K107" s="173"/>
      <c r="L107" s="173"/>
      <c r="M107" s="173"/>
      <c r="N107" s="173"/>
      <c r="O107" s="173"/>
      <c r="P107" s="173"/>
    </row>
    <row r="108" spans="1:16" customFormat="1" x14ac:dyDescent="0.25">
      <c r="A108" s="174" t="s">
        <v>104</v>
      </c>
      <c r="B108" s="174"/>
      <c r="C108" s="174"/>
      <c r="D108" s="174"/>
      <c r="E108" s="174"/>
      <c r="F108" s="174"/>
      <c r="G108" s="2"/>
      <c r="H108" s="173"/>
      <c r="I108" s="173"/>
      <c r="J108" s="23"/>
      <c r="K108" s="173"/>
      <c r="L108" s="173"/>
      <c r="M108" s="173"/>
      <c r="N108" s="173"/>
      <c r="O108" s="173"/>
      <c r="P108" s="173"/>
    </row>
    <row r="109" spans="1:16" customFormat="1" x14ac:dyDescent="0.25">
      <c r="A109" s="173"/>
      <c r="B109" s="173"/>
      <c r="C109" s="173"/>
      <c r="D109" s="173"/>
      <c r="E109" s="173"/>
      <c r="F109" s="173"/>
      <c r="G109" s="2"/>
      <c r="H109" s="173"/>
      <c r="I109" s="173"/>
      <c r="J109" s="23"/>
      <c r="K109" s="173"/>
      <c r="L109" s="173"/>
      <c r="M109" s="173"/>
      <c r="N109" s="173"/>
      <c r="O109" s="173"/>
      <c r="P109" s="173"/>
    </row>
    <row r="110" spans="1:16" customFormat="1" x14ac:dyDescent="0.25">
      <c r="A110" s="174" t="str">
        <f>IF(B95="TO","How much do you want to use for the High Cost Fund?","")</f>
        <v/>
      </c>
      <c r="B110" s="173"/>
      <c r="C110" s="173"/>
      <c r="D110" s="173"/>
      <c r="E110" s="173"/>
      <c r="F110" s="173"/>
      <c r="G110" s="2"/>
      <c r="H110" s="37"/>
      <c r="I110" s="173" t="str">
        <f>IF(SUM(H110:H110)&lt;&gt;ROUND(SUM(H110:H110),0),"WHOLE DOLLARS","")</f>
        <v/>
      </c>
      <c r="J110" s="172" t="str">
        <f>IF(B95="NOT TO","Leave Blank",(IF(AND(B95="TO",SUM(H110:H110)&lt;E111),"PROBLEM - You have not set aside enough money for the High Cost Fund","OK")))</f>
        <v>Leave Blank</v>
      </c>
      <c r="K110" s="173"/>
      <c r="L110" s="173"/>
      <c r="M110" s="173"/>
      <c r="N110" s="173"/>
      <c r="O110" s="173"/>
      <c r="P110" s="173"/>
    </row>
    <row r="111" spans="1:16" customFormat="1" x14ac:dyDescent="0.25">
      <c r="A111" s="173"/>
      <c r="B111" s="182"/>
      <c r="C111" s="182"/>
      <c r="D111" s="182" t="str">
        <f>IF(B95="TO","You must use at least","")</f>
        <v/>
      </c>
      <c r="E111" s="200" t="str">
        <f>IF(B95="TO",ROUND((SUM(I98:I98)*0.1),0),"")</f>
        <v/>
      </c>
      <c r="F111" s="200"/>
      <c r="G111" s="200"/>
      <c r="H111" s="173" t="s">
        <v>2</v>
      </c>
      <c r="I111" s="173" t="s">
        <v>2</v>
      </c>
      <c r="J111" s="23"/>
      <c r="K111" s="173"/>
      <c r="L111" s="173"/>
      <c r="M111" s="173"/>
      <c r="N111" s="173"/>
      <c r="O111" s="173"/>
      <c r="P111" s="173"/>
    </row>
    <row r="112" spans="1:16" customFormat="1" x14ac:dyDescent="0.25">
      <c r="A112" s="173"/>
      <c r="B112" s="173"/>
      <c r="C112" s="173"/>
      <c r="D112" s="173"/>
      <c r="E112" s="173"/>
      <c r="F112" s="173"/>
      <c r="G112" s="2"/>
      <c r="H112" s="173"/>
      <c r="I112" s="173"/>
      <c r="J112" s="173"/>
      <c r="K112" s="173"/>
      <c r="L112" s="173"/>
      <c r="M112" s="173"/>
      <c r="N112" s="173"/>
      <c r="O112" s="173"/>
      <c r="P112" s="173"/>
    </row>
    <row r="113" spans="1:16" customFormat="1" x14ac:dyDescent="0.25">
      <c r="A113" s="173"/>
      <c r="B113" s="199" t="s">
        <v>105</v>
      </c>
      <c r="C113" s="199"/>
      <c r="D113" s="199"/>
      <c r="E113" s="199"/>
      <c r="F113" s="199"/>
      <c r="G113" s="2"/>
      <c r="H113" s="32">
        <f>SUM($I$98:$I$98)-SUM($H110:H$110)</f>
        <v>32515544</v>
      </c>
      <c r="I113" s="173" t="s">
        <v>2</v>
      </c>
      <c r="J113" s="36">
        <f>SUM(H$174:H$174)</f>
        <v>3.2975822687149048E-3</v>
      </c>
      <c r="K113" s="173" t="str">
        <f>IF((H$174:H$174)&lt;=SUM(I$98:I$98),"More needs to be distributed.","Too much has been distributed.")</f>
        <v>More needs to be distributed.</v>
      </c>
      <c r="L113" s="173"/>
      <c r="M113" s="173"/>
      <c r="N113" s="173"/>
      <c r="O113" s="173"/>
      <c r="P113" s="173"/>
    </row>
    <row r="114" spans="1:16" customFormat="1" x14ac:dyDescent="0.25">
      <c r="A114" s="173"/>
      <c r="B114" s="173"/>
      <c r="C114" s="173"/>
      <c r="D114" s="173"/>
      <c r="E114" s="173"/>
      <c r="F114" s="173"/>
      <c r="G114" s="2"/>
      <c r="H114" s="173"/>
      <c r="I114" s="173"/>
      <c r="J114" s="173"/>
      <c r="K114" s="173"/>
      <c r="L114" s="173"/>
      <c r="M114" s="173"/>
      <c r="N114" s="173"/>
      <c r="O114" s="173"/>
      <c r="P114" s="173"/>
    </row>
    <row r="115" spans="1:16" customFormat="1" ht="12.75" customHeight="1" x14ac:dyDescent="0.25">
      <c r="A115" s="173"/>
      <c r="B115" s="173"/>
      <c r="C115" s="201" t="s">
        <v>106</v>
      </c>
      <c r="D115" s="201"/>
      <c r="E115" s="201"/>
      <c r="F115" s="201"/>
      <c r="G115" s="2"/>
      <c r="H115" s="173"/>
      <c r="I115" s="173"/>
      <c r="J115" s="173"/>
      <c r="K115" s="173"/>
      <c r="L115" s="173"/>
      <c r="M115" s="173"/>
      <c r="N115" s="173"/>
      <c r="O115" s="173"/>
      <c r="P115" s="173"/>
    </row>
    <row r="116" spans="1:16" customFormat="1" x14ac:dyDescent="0.25">
      <c r="A116" s="173"/>
      <c r="B116" s="173"/>
      <c r="C116" s="201"/>
      <c r="D116" s="201"/>
      <c r="E116" s="201"/>
      <c r="F116" s="201"/>
      <c r="G116" s="21" t="s">
        <v>107</v>
      </c>
      <c r="H116" s="22">
        <f>'[3]ffy22 Justix'!B24</f>
        <v>9066752</v>
      </c>
      <c r="I116" s="173" t="str">
        <f>IF(SUM(H116:H116)&lt;&gt;ROUND(SUM(H116:H116),0),"WHOLE DOLLARS","")</f>
        <v/>
      </c>
      <c r="J116" s="174" t="str">
        <f>IF((SUM(H116:H116)&gt;0)," ", "PROBLEM - You must use at least $1 for this purpose.")</f>
        <v xml:space="preserve"> </v>
      </c>
      <c r="K116" s="173"/>
      <c r="L116" s="173"/>
      <c r="M116" s="173"/>
      <c r="N116" s="173"/>
      <c r="O116" s="173"/>
      <c r="P116" s="173"/>
    </row>
    <row r="117" spans="1:16" customFormat="1" x14ac:dyDescent="0.25">
      <c r="A117" s="173"/>
      <c r="B117" s="173"/>
      <c r="C117" s="173"/>
      <c r="D117" s="173"/>
      <c r="E117" s="173"/>
      <c r="F117" s="173"/>
      <c r="G117" s="2"/>
      <c r="H117" s="173"/>
      <c r="I117" s="173"/>
      <c r="J117" s="173"/>
      <c r="K117" s="173"/>
      <c r="L117" s="173"/>
      <c r="M117" s="173"/>
      <c r="N117" s="173"/>
      <c r="O117" s="173"/>
      <c r="P117" s="173"/>
    </row>
    <row r="118" spans="1:16" customFormat="1" ht="12.75" customHeight="1" x14ac:dyDescent="0.25">
      <c r="A118" s="173"/>
      <c r="B118" s="173"/>
      <c r="C118" s="201" t="s">
        <v>108</v>
      </c>
      <c r="D118" s="201"/>
      <c r="E118" s="201"/>
      <c r="F118" s="201"/>
      <c r="G118" s="2"/>
      <c r="H118" s="32">
        <f>SUM(H113:H113)-SUM(H116:H116)</f>
        <v>23448792</v>
      </c>
      <c r="I118" s="173" t="s">
        <v>2</v>
      </c>
      <c r="J118" s="36">
        <f>SUM(H$174:H$174)</f>
        <v>3.2975822687149048E-3</v>
      </c>
      <c r="K118" s="173" t="str">
        <f>IF((H$174:H$174)&lt;=SUM(I$98:I$98),"More needs to be distributed.","Too much has been distributed.")</f>
        <v>More needs to be distributed.</v>
      </c>
      <c r="L118" s="173"/>
      <c r="M118" s="173"/>
      <c r="N118" s="173"/>
      <c r="O118" s="173"/>
      <c r="P118" s="173"/>
    </row>
    <row r="119" spans="1:16" customFormat="1" x14ac:dyDescent="0.25">
      <c r="A119" s="173"/>
      <c r="B119" s="173"/>
      <c r="C119" s="201"/>
      <c r="D119" s="201"/>
      <c r="E119" s="201"/>
      <c r="F119" s="201"/>
      <c r="G119" s="2"/>
      <c r="H119" s="173"/>
      <c r="I119" s="173"/>
      <c r="J119" s="173"/>
      <c r="K119" s="173"/>
      <c r="L119" s="173"/>
      <c r="M119" s="173"/>
      <c r="N119" s="173"/>
      <c r="O119" s="173"/>
      <c r="P119" s="173"/>
    </row>
    <row r="120" spans="1:16" customFormat="1" x14ac:dyDescent="0.25">
      <c r="A120" s="173"/>
      <c r="B120" s="173"/>
      <c r="C120" s="201"/>
      <c r="D120" s="201"/>
      <c r="E120" s="201"/>
      <c r="F120" s="201"/>
      <c r="G120" s="21" t="s">
        <v>109</v>
      </c>
      <c r="H120" s="22">
        <f>'[3]ffy22 Justix'!B25</f>
        <v>3439183</v>
      </c>
      <c r="I120" s="173" t="str">
        <f>IF(SUM(H120:H120)&lt;&gt;ROUND(SUM(H120:H120),0),"WHOLE DOLLARS","")</f>
        <v/>
      </c>
      <c r="J120" s="174" t="str">
        <f>IF((SUM(H120:H120)&gt;0)," ", "PROBLEM - You must use at least $1 for this purpose.")</f>
        <v xml:space="preserve"> </v>
      </c>
      <c r="K120" s="173"/>
      <c r="L120" s="173"/>
      <c r="M120" s="173"/>
      <c r="N120" s="173"/>
      <c r="O120" s="173"/>
      <c r="P120" s="173"/>
    </row>
    <row r="121" spans="1:16" customFormat="1" x14ac:dyDescent="0.25">
      <c r="A121" s="173"/>
      <c r="B121" s="173"/>
      <c r="C121" s="198"/>
      <c r="D121" s="198"/>
      <c r="E121" s="198"/>
      <c r="F121" s="198"/>
      <c r="G121" s="2"/>
      <c r="H121" s="173"/>
      <c r="I121" s="173"/>
      <c r="J121" s="173"/>
      <c r="K121" s="173"/>
      <c r="L121" s="173"/>
      <c r="M121" s="173"/>
      <c r="N121" s="173"/>
      <c r="O121" s="173"/>
      <c r="P121" s="173"/>
    </row>
    <row r="122" spans="1:16" customFormat="1" x14ac:dyDescent="0.25">
      <c r="A122" s="173"/>
      <c r="B122" s="174" t="s">
        <v>110</v>
      </c>
      <c r="C122" s="173"/>
      <c r="D122" s="173"/>
      <c r="E122" s="173"/>
      <c r="F122" s="173"/>
      <c r="G122" s="2"/>
      <c r="H122" s="32">
        <f>SUM(H118:H118)-SUM(H120:H120)</f>
        <v>20009609</v>
      </c>
      <c r="I122" s="173" t="s">
        <v>2</v>
      </c>
      <c r="J122" s="36">
        <f>SUM(H$174:H$174)</f>
        <v>3.2975822687149048E-3</v>
      </c>
      <c r="K122" s="173" t="str">
        <f>IF((H$174:H$174)&lt;=SUM(I$98:I$98),"More needs to be distributed.","Too much has been distributed.")</f>
        <v>More needs to be distributed.</v>
      </c>
      <c r="L122" s="173"/>
      <c r="M122" s="173"/>
      <c r="N122" s="173"/>
      <c r="O122" s="173"/>
      <c r="P122" s="173"/>
    </row>
    <row r="123" spans="1:16" customFormat="1" x14ac:dyDescent="0.25">
      <c r="A123" s="173"/>
      <c r="B123" s="173"/>
      <c r="C123" s="173"/>
      <c r="D123" s="173"/>
      <c r="E123" s="173"/>
      <c r="F123" s="173"/>
      <c r="G123" s="2"/>
      <c r="H123" s="173"/>
      <c r="I123" s="173"/>
      <c r="J123" s="173"/>
      <c r="K123" s="173"/>
      <c r="L123" s="173"/>
      <c r="M123" s="173"/>
      <c r="N123" s="173"/>
      <c r="O123" s="173"/>
      <c r="P123" s="173"/>
    </row>
    <row r="124" spans="1:16" customFormat="1" ht="12.75" customHeight="1" x14ac:dyDescent="0.25">
      <c r="A124" s="173"/>
      <c r="B124" s="173"/>
      <c r="C124" s="193" t="s">
        <v>111</v>
      </c>
      <c r="D124" s="193"/>
      <c r="E124" s="193"/>
      <c r="F124" s="193"/>
      <c r="G124" s="2"/>
      <c r="H124" s="173"/>
      <c r="I124" s="173"/>
      <c r="J124" s="173"/>
      <c r="K124" s="173"/>
      <c r="L124" s="173"/>
      <c r="M124" s="173"/>
      <c r="N124" s="173"/>
      <c r="O124" s="173"/>
      <c r="P124" s="173"/>
    </row>
    <row r="125" spans="1:16" customFormat="1" x14ac:dyDescent="0.25">
      <c r="A125" s="173"/>
      <c r="B125" s="173"/>
      <c r="C125" s="193"/>
      <c r="D125" s="193"/>
      <c r="E125" s="193"/>
      <c r="F125" s="193"/>
      <c r="G125" s="21" t="s">
        <v>112</v>
      </c>
      <c r="H125" s="22">
        <f>'[3]ffy22 Justix'!B26</f>
        <v>3399140.37</v>
      </c>
      <c r="I125" s="173" t="str">
        <f>IF(SUM(H125:H125)&lt;&gt;ROUND(SUM(H125:H125),0),"WHOLE DOLLARS","")</f>
        <v>WHOLE DOLLARS</v>
      </c>
      <c r="J125" s="173" t="s">
        <v>2</v>
      </c>
      <c r="K125" s="173" t="s">
        <v>2</v>
      </c>
      <c r="L125" s="173"/>
      <c r="M125" s="173"/>
      <c r="N125" s="173"/>
      <c r="O125" s="173"/>
      <c r="P125" s="173"/>
    </row>
    <row r="126" spans="1:16" customFormat="1" x14ac:dyDescent="0.25">
      <c r="A126" s="173"/>
      <c r="B126" s="173"/>
      <c r="C126" s="181"/>
      <c r="D126" s="181"/>
      <c r="E126" s="181"/>
      <c r="F126" s="181"/>
      <c r="G126" s="2"/>
      <c r="H126" s="173"/>
      <c r="I126" s="173"/>
      <c r="J126" s="173"/>
      <c r="K126" s="173"/>
      <c r="L126" s="173"/>
      <c r="M126" s="173"/>
      <c r="N126" s="173"/>
      <c r="O126" s="173"/>
      <c r="P126" s="173"/>
    </row>
    <row r="127" spans="1:16" customFormat="1" ht="12.75" customHeight="1" x14ac:dyDescent="0.25">
      <c r="A127" s="173"/>
      <c r="B127" s="173"/>
      <c r="C127" s="193" t="s">
        <v>54</v>
      </c>
      <c r="D127" s="193"/>
      <c r="E127" s="193"/>
      <c r="F127" s="193"/>
      <c r="G127" s="2"/>
      <c r="H127" s="32">
        <f>SUM(H122:H122)-SUM(H125:H125)</f>
        <v>16610468.629999999</v>
      </c>
      <c r="I127" s="173" t="s">
        <v>2</v>
      </c>
      <c r="J127" s="36">
        <f>SUM(H$174:H$174)</f>
        <v>3.2975822687149048E-3</v>
      </c>
      <c r="K127" s="173" t="str">
        <f>IF((H$174:H$174)&lt;=SUM(I$98:I$98),"More needs to be distributed.","Too much has been distributed.")</f>
        <v>More needs to be distributed.</v>
      </c>
      <c r="L127" s="173"/>
      <c r="M127" s="173"/>
      <c r="N127" s="173"/>
      <c r="O127" s="173"/>
      <c r="P127" s="173"/>
    </row>
    <row r="128" spans="1:16" customFormat="1" x14ac:dyDescent="0.25">
      <c r="A128" s="173"/>
      <c r="B128" s="173"/>
      <c r="C128" s="193"/>
      <c r="D128" s="193"/>
      <c r="E128" s="193"/>
      <c r="F128" s="193"/>
      <c r="G128" s="2"/>
      <c r="H128" s="173"/>
      <c r="I128" s="173"/>
      <c r="J128" s="173"/>
      <c r="K128" s="173"/>
      <c r="L128" s="173"/>
      <c r="M128" s="173"/>
      <c r="N128" s="173"/>
      <c r="O128" s="173"/>
      <c r="P128" s="173"/>
    </row>
    <row r="129" spans="1:16" customFormat="1" x14ac:dyDescent="0.25">
      <c r="A129" s="173"/>
      <c r="B129" s="173"/>
      <c r="C129" s="193"/>
      <c r="D129" s="193"/>
      <c r="E129" s="193"/>
      <c r="F129" s="193"/>
      <c r="G129" s="2" t="s">
        <v>113</v>
      </c>
      <c r="H129" s="22">
        <f>'[3]ffy22 Justix'!B27</f>
        <v>558150</v>
      </c>
      <c r="I129" s="173" t="str">
        <f>IF(SUM(H129:H129)&lt;&gt;ROUND(SUM(H129:H129),0),"WHOLE DOLLARS","")</f>
        <v/>
      </c>
      <c r="J129" s="173"/>
      <c r="K129" s="173"/>
      <c r="L129" s="173"/>
      <c r="M129" s="173"/>
      <c r="N129" s="173"/>
      <c r="O129" s="173"/>
      <c r="P129" s="173"/>
    </row>
    <row r="130" spans="1:16" customFormat="1" x14ac:dyDescent="0.25">
      <c r="A130" s="173"/>
      <c r="B130" s="173"/>
      <c r="C130" s="194" t="s">
        <v>2</v>
      </c>
      <c r="D130" s="194"/>
      <c r="E130" s="194"/>
      <c r="F130" s="194"/>
      <c r="G130" s="2"/>
      <c r="H130" s="32">
        <f>SUM(H127:H127)-SUM(H129:H129)</f>
        <v>16052318.629999999</v>
      </c>
      <c r="I130" s="173" t="s">
        <v>2</v>
      </c>
      <c r="J130" s="36">
        <f>SUM(H$174:H$174)</f>
        <v>3.2975822687149048E-3</v>
      </c>
      <c r="K130" s="173" t="str">
        <f>IF((H$174:H$174)&lt;=SUM(I$98:I$98),"More needs to be distributed.","Too much has been distributed.")</f>
        <v>More needs to be distributed.</v>
      </c>
      <c r="L130" s="173"/>
      <c r="M130" s="173"/>
      <c r="N130" s="173"/>
      <c r="O130" s="173"/>
      <c r="P130" s="173"/>
    </row>
    <row r="131" spans="1:16" customFormat="1" ht="12.75" customHeight="1" x14ac:dyDescent="0.25">
      <c r="A131" s="173"/>
      <c r="B131" s="173"/>
      <c r="C131" s="193" t="s">
        <v>60</v>
      </c>
      <c r="D131" s="193"/>
      <c r="E131" s="193"/>
      <c r="F131" s="193"/>
      <c r="G131" s="38" t="s">
        <v>114</v>
      </c>
      <c r="H131" s="22">
        <f>'[3]ffy22 Justix'!B28</f>
        <v>967920</v>
      </c>
      <c r="I131" s="173" t="str">
        <f>IF(SUM(H131:H131)&lt;&gt;ROUND(SUM(H131:H131),0),"WHOLE DOLLARS","")</f>
        <v/>
      </c>
      <c r="J131" s="173"/>
      <c r="K131" s="173"/>
      <c r="L131" s="173"/>
      <c r="M131" s="173"/>
      <c r="N131" s="173"/>
      <c r="O131" s="173"/>
      <c r="P131" s="173"/>
    </row>
    <row r="132" spans="1:16" customFormat="1" x14ac:dyDescent="0.25">
      <c r="A132" s="173"/>
      <c r="B132" s="173"/>
      <c r="C132" s="194"/>
      <c r="D132" s="194"/>
      <c r="E132" s="194"/>
      <c r="F132" s="194"/>
      <c r="G132" s="2"/>
      <c r="H132" s="173"/>
      <c r="I132" s="173"/>
      <c r="J132" s="173"/>
      <c r="K132" s="173"/>
      <c r="L132" s="173"/>
      <c r="M132" s="173"/>
      <c r="N132" s="173"/>
      <c r="O132" s="173"/>
      <c r="P132" s="173"/>
    </row>
    <row r="133" spans="1:16" customFormat="1" ht="12.75" customHeight="1" x14ac:dyDescent="0.25">
      <c r="A133" s="173"/>
      <c r="B133" s="173"/>
      <c r="C133" s="193" t="s">
        <v>64</v>
      </c>
      <c r="D133" s="193"/>
      <c r="E133" s="193"/>
      <c r="F133" s="193"/>
      <c r="G133" s="2"/>
      <c r="H133" s="32">
        <f>SUM(H130:H130)-SUM(H131:H131)</f>
        <v>15084398.629999999</v>
      </c>
      <c r="I133" s="173" t="s">
        <v>2</v>
      </c>
      <c r="J133" s="36">
        <f>SUM(H$174:H$174)</f>
        <v>3.2975822687149048E-3</v>
      </c>
      <c r="K133" s="173" t="str">
        <f>IF((H$174:H$174)&lt;=SUM(I$98:I$98),"More needs to be distributed.","Too much has been distributed.")</f>
        <v>More needs to be distributed.</v>
      </c>
      <c r="L133" s="173"/>
      <c r="M133" s="173"/>
      <c r="N133" s="173"/>
      <c r="O133" s="173"/>
      <c r="P133" s="173"/>
    </row>
    <row r="134" spans="1:16" customFormat="1" x14ac:dyDescent="0.25">
      <c r="A134" s="173"/>
      <c r="B134" s="173"/>
      <c r="C134" s="193"/>
      <c r="D134" s="193"/>
      <c r="E134" s="193"/>
      <c r="F134" s="193"/>
      <c r="G134" s="2" t="s">
        <v>115</v>
      </c>
      <c r="H134" s="22">
        <f>'[3]ffy22 Justix'!B29</f>
        <v>970000</v>
      </c>
      <c r="I134" s="173" t="str">
        <f>IF(SUM(H134:H134)&lt;&gt;ROUND(SUM(H134:H134),0),"WHOLE DOLLARS","")</f>
        <v/>
      </c>
      <c r="J134" s="173"/>
      <c r="K134" s="173"/>
      <c r="L134" s="173"/>
      <c r="M134" s="173"/>
      <c r="N134" s="173"/>
      <c r="O134" s="173"/>
      <c r="P134" s="173"/>
    </row>
    <row r="135" spans="1:16" customFormat="1" x14ac:dyDescent="0.25">
      <c r="A135" s="173"/>
      <c r="B135" s="173"/>
      <c r="C135" s="181" t="s">
        <v>2</v>
      </c>
      <c r="D135" s="181"/>
      <c r="E135" s="181"/>
      <c r="F135" s="181"/>
      <c r="G135" s="2"/>
      <c r="H135" s="173"/>
      <c r="I135" s="173"/>
      <c r="J135" s="173"/>
      <c r="K135" s="173"/>
      <c r="L135" s="173"/>
      <c r="M135" s="173"/>
      <c r="N135" s="173"/>
      <c r="O135" s="173"/>
      <c r="P135" s="173"/>
    </row>
    <row r="136" spans="1:16" customFormat="1" ht="12.75" customHeight="1" x14ac:dyDescent="0.25">
      <c r="A136" s="173"/>
      <c r="B136" s="173"/>
      <c r="C136" s="193" t="s">
        <v>116</v>
      </c>
      <c r="D136" s="193"/>
      <c r="E136" s="193"/>
      <c r="F136" s="193"/>
      <c r="G136" s="2"/>
      <c r="H136" s="32">
        <f>SUM(H133:H133)-SUM(H134:H134)</f>
        <v>14114398.629999999</v>
      </c>
      <c r="I136" s="173" t="s">
        <v>2</v>
      </c>
      <c r="J136" s="36">
        <f>SUM(H$174:H$174)</f>
        <v>3.2975822687149048E-3</v>
      </c>
      <c r="K136" s="173" t="str">
        <f>IF((H$174:H$174)&lt;=SUM(I$98:I$98),"More needs to be distributed.","Too much has been distributed.")</f>
        <v>More needs to be distributed.</v>
      </c>
      <c r="L136" s="173"/>
      <c r="M136" s="173"/>
      <c r="N136" s="173"/>
      <c r="O136" s="173"/>
      <c r="P136" s="173"/>
    </row>
    <row r="137" spans="1:16" customFormat="1" x14ac:dyDescent="0.25">
      <c r="A137" s="173"/>
      <c r="B137" s="173"/>
      <c r="C137" s="193"/>
      <c r="D137" s="193"/>
      <c r="E137" s="193"/>
      <c r="F137" s="193"/>
      <c r="G137" s="2" t="s">
        <v>117</v>
      </c>
      <c r="H137" s="22">
        <f>'[3]ffy22 Justix'!B30</f>
        <v>250000</v>
      </c>
      <c r="I137" s="173" t="str">
        <f>IF(SUM(H137:H137)&lt;&gt;ROUND(SUM(H137:H137),0),"WHOLE DOLLARS","")</f>
        <v/>
      </c>
      <c r="J137" s="173"/>
      <c r="K137" s="173"/>
      <c r="L137" s="173"/>
      <c r="M137" s="173"/>
      <c r="N137" s="173"/>
      <c r="O137" s="173"/>
      <c r="P137" s="173"/>
    </row>
    <row r="138" spans="1:16" customFormat="1" x14ac:dyDescent="0.25">
      <c r="A138" s="173"/>
      <c r="B138" s="173"/>
      <c r="C138" s="181"/>
      <c r="D138" s="181"/>
      <c r="E138" s="181"/>
      <c r="F138" s="181"/>
      <c r="G138" s="2"/>
      <c r="H138" s="173"/>
      <c r="I138" s="173"/>
      <c r="J138" s="173"/>
      <c r="K138" s="173"/>
      <c r="L138" s="173"/>
      <c r="M138" s="173"/>
      <c r="N138" s="173"/>
      <c r="O138" s="173"/>
      <c r="P138" s="173"/>
    </row>
    <row r="139" spans="1:16" customFormat="1" ht="12.75" customHeight="1" x14ac:dyDescent="0.25">
      <c r="A139" s="173"/>
      <c r="B139" s="173"/>
      <c r="C139" s="193" t="s">
        <v>118</v>
      </c>
      <c r="D139" s="193"/>
      <c r="E139" s="193"/>
      <c r="F139" s="193"/>
      <c r="G139" s="2"/>
      <c r="H139" s="32">
        <f>SUM(H136:H136)-SUM(H137:H137)</f>
        <v>13864398.629999999</v>
      </c>
      <c r="I139" s="173" t="s">
        <v>2</v>
      </c>
      <c r="J139" s="36">
        <f>SUM(H$174:H$174)</f>
        <v>3.2975822687149048E-3</v>
      </c>
      <c r="K139" s="173" t="str">
        <f>IF((H$174:H$174)&lt;=SUM(I$98:I$98),"More needs to be distributed.","Too much has been distributed.")</f>
        <v>More needs to be distributed.</v>
      </c>
      <c r="L139" s="173"/>
      <c r="M139" s="173"/>
      <c r="N139" s="173"/>
      <c r="O139" s="173"/>
      <c r="P139" s="173"/>
    </row>
    <row r="140" spans="1:16" customFormat="1" x14ac:dyDescent="0.25">
      <c r="A140" s="173"/>
      <c r="B140" s="173"/>
      <c r="C140" s="193"/>
      <c r="D140" s="193"/>
      <c r="E140" s="193"/>
      <c r="F140" s="193"/>
      <c r="G140" s="2" t="s">
        <v>119</v>
      </c>
      <c r="H140" s="22">
        <f>'[3]ffy22 Justix'!B31</f>
        <v>0</v>
      </c>
      <c r="I140" s="173" t="str">
        <f>IF(SUM(H140:H140)&lt;&gt;ROUND(SUM(H140:H140),0),"WHOLE DOLLARS","")</f>
        <v/>
      </c>
      <c r="J140" s="173"/>
      <c r="K140" s="173"/>
      <c r="L140" s="173"/>
      <c r="M140" s="173"/>
      <c r="N140" s="173"/>
      <c r="O140" s="173"/>
      <c r="P140" s="173"/>
    </row>
    <row r="141" spans="1:16" customFormat="1" x14ac:dyDescent="0.25">
      <c r="A141" s="173"/>
      <c r="B141" s="173"/>
      <c r="C141" s="181"/>
      <c r="D141" s="181"/>
      <c r="E141" s="181"/>
      <c r="F141" s="181"/>
      <c r="G141" s="2"/>
      <c r="H141" s="173"/>
      <c r="I141" s="173"/>
      <c r="J141" s="173"/>
      <c r="K141" s="173"/>
      <c r="L141" s="173"/>
      <c r="M141" s="173"/>
      <c r="N141" s="173"/>
      <c r="O141" s="173"/>
      <c r="P141" s="173"/>
    </row>
    <row r="142" spans="1:16" customFormat="1" ht="12.75" customHeight="1" x14ac:dyDescent="0.25">
      <c r="A142" s="173"/>
      <c r="B142" s="173"/>
      <c r="C142" s="193" t="s">
        <v>120</v>
      </c>
      <c r="D142" s="193"/>
      <c r="E142" s="193"/>
      <c r="F142" s="193"/>
      <c r="G142" s="2"/>
      <c r="H142" s="32">
        <f>SUM(H139:H139)-SUM(H140:H140)</f>
        <v>13864398.629999999</v>
      </c>
      <c r="I142" s="173" t="s">
        <v>2</v>
      </c>
      <c r="J142" s="36">
        <f>SUM(H$174:H$174)</f>
        <v>3.2975822687149048E-3</v>
      </c>
      <c r="K142" s="173" t="str">
        <f>IF((H$174:H$174)&lt;=SUM(I$98:I$98),"More needs to be distributed.","Too much has been distributed.")</f>
        <v>More needs to be distributed.</v>
      </c>
      <c r="L142" s="173"/>
      <c r="M142" s="173"/>
      <c r="N142" s="173"/>
      <c r="O142" s="173"/>
      <c r="P142" s="173"/>
    </row>
    <row r="143" spans="1:16" customFormat="1" x14ac:dyDescent="0.25">
      <c r="A143" s="173"/>
      <c r="B143" s="173"/>
      <c r="C143" s="193"/>
      <c r="D143" s="193"/>
      <c r="E143" s="193"/>
      <c r="F143" s="193"/>
      <c r="G143" s="2"/>
      <c r="H143" s="173"/>
      <c r="I143" s="173"/>
      <c r="J143" s="173"/>
      <c r="K143" s="173"/>
      <c r="L143" s="173"/>
      <c r="M143" s="173"/>
      <c r="N143" s="173"/>
      <c r="O143" s="173"/>
      <c r="P143" s="173"/>
    </row>
    <row r="144" spans="1:16" customFormat="1" x14ac:dyDescent="0.25">
      <c r="A144" s="173"/>
      <c r="B144" s="173"/>
      <c r="C144" s="193"/>
      <c r="D144" s="193"/>
      <c r="E144" s="193"/>
      <c r="F144" s="193"/>
      <c r="G144" s="2" t="s">
        <v>121</v>
      </c>
      <c r="H144" s="22">
        <f>'[3]ffy22 Justix'!B32</f>
        <v>855400</v>
      </c>
      <c r="I144" s="173" t="str">
        <f>IF(SUM(H144:H144)&lt;&gt;ROUND(SUM(H144:H144),0),"WHOLE DOLLARS","")</f>
        <v/>
      </c>
      <c r="J144" s="173"/>
      <c r="K144" s="173"/>
      <c r="L144" s="173"/>
      <c r="M144" s="173"/>
      <c r="N144" s="173"/>
      <c r="O144" s="173"/>
      <c r="P144" s="173"/>
    </row>
    <row r="145" spans="1:16" customFormat="1" x14ac:dyDescent="0.25">
      <c r="A145" s="173"/>
      <c r="B145" s="173"/>
      <c r="C145" s="181"/>
      <c r="D145" s="181"/>
      <c r="E145" s="181"/>
      <c r="F145" s="181"/>
      <c r="G145" s="2"/>
      <c r="H145" s="173"/>
      <c r="I145" s="173"/>
      <c r="J145" s="173"/>
      <c r="K145" s="173"/>
      <c r="L145" s="173"/>
      <c r="M145" s="173"/>
      <c r="N145" s="173"/>
      <c r="O145" s="173"/>
      <c r="P145" s="173"/>
    </row>
    <row r="146" spans="1:16" customFormat="1" ht="12.75" customHeight="1" x14ac:dyDescent="0.25">
      <c r="A146" s="173"/>
      <c r="B146" s="173"/>
      <c r="C146" s="193" t="s">
        <v>122</v>
      </c>
      <c r="D146" s="193"/>
      <c r="E146" s="193"/>
      <c r="F146" s="193"/>
      <c r="G146" s="2"/>
      <c r="H146" s="32">
        <f>SUM(H142:H142)-SUM(H144:H144)</f>
        <v>13008998.629999999</v>
      </c>
      <c r="I146" s="173" t="s">
        <v>2</v>
      </c>
      <c r="J146" s="36">
        <f>SUM(H$174:H$174)</f>
        <v>3.2975822687149048E-3</v>
      </c>
      <c r="K146" s="173" t="str">
        <f>IF((H$174:H$174)&lt;=SUM(I$98:I$98),"More needs to be distributed.","Too much has been distributed.")</f>
        <v>More needs to be distributed.</v>
      </c>
      <c r="L146" s="173"/>
      <c r="M146" s="173"/>
      <c r="N146" s="173"/>
      <c r="O146" s="173"/>
      <c r="P146" s="173"/>
    </row>
    <row r="147" spans="1:16" customFormat="1" x14ac:dyDescent="0.25">
      <c r="A147" s="173"/>
      <c r="B147" s="173"/>
      <c r="C147" s="193"/>
      <c r="D147" s="193"/>
      <c r="E147" s="193"/>
      <c r="F147" s="193"/>
      <c r="G147" s="2"/>
      <c r="H147" s="173"/>
      <c r="I147" s="173"/>
      <c r="J147" s="173"/>
      <c r="K147" s="173"/>
      <c r="L147" s="173"/>
      <c r="M147" s="173"/>
      <c r="N147" s="173"/>
      <c r="O147" s="173"/>
      <c r="P147" s="173"/>
    </row>
    <row r="148" spans="1:16" customFormat="1" x14ac:dyDescent="0.25">
      <c r="A148" s="173"/>
      <c r="B148" s="173"/>
      <c r="C148" s="193"/>
      <c r="D148" s="193"/>
      <c r="E148" s="193"/>
      <c r="F148" s="193"/>
      <c r="G148" s="2" t="s">
        <v>123</v>
      </c>
      <c r="H148" s="22">
        <f>'[3]ffy22 Justix'!B33</f>
        <v>62024</v>
      </c>
      <c r="I148" s="173" t="str">
        <f>IF(SUM(H148:H148)&lt;&gt;ROUND(SUM(H148:H148),0),"WHOLE DOLLARS","")</f>
        <v/>
      </c>
      <c r="J148" s="173"/>
      <c r="K148" s="173"/>
      <c r="L148" s="173"/>
      <c r="M148" s="173"/>
      <c r="N148" s="173"/>
      <c r="O148" s="173"/>
      <c r="P148" s="173"/>
    </row>
    <row r="149" spans="1:16" customFormat="1" x14ac:dyDescent="0.25">
      <c r="A149" s="173"/>
      <c r="B149" s="173"/>
      <c r="C149" s="181"/>
      <c r="D149" s="181"/>
      <c r="E149" s="181"/>
      <c r="F149" s="181"/>
      <c r="G149" s="2"/>
      <c r="H149" s="173"/>
      <c r="I149" s="173"/>
      <c r="J149" s="173"/>
      <c r="K149" s="173"/>
      <c r="L149" s="173"/>
      <c r="M149" s="173"/>
      <c r="N149" s="173"/>
      <c r="O149" s="173"/>
      <c r="P149" s="173"/>
    </row>
    <row r="150" spans="1:16" customFormat="1" ht="12.75" customHeight="1" x14ac:dyDescent="0.25">
      <c r="A150" s="173"/>
      <c r="B150" s="173"/>
      <c r="C150" s="193" t="s">
        <v>124</v>
      </c>
      <c r="D150" s="193"/>
      <c r="E150" s="193"/>
      <c r="F150" s="193"/>
      <c r="G150" s="2"/>
      <c r="H150" s="173"/>
      <c r="I150" s="173"/>
      <c r="J150" s="173"/>
      <c r="K150" s="173"/>
      <c r="L150" s="173"/>
      <c r="M150" s="173"/>
      <c r="N150" s="173"/>
      <c r="O150" s="173"/>
      <c r="P150" s="173"/>
    </row>
    <row r="151" spans="1:16" customFormat="1" x14ac:dyDescent="0.25">
      <c r="A151" s="173"/>
      <c r="B151" s="173"/>
      <c r="C151" s="193"/>
      <c r="D151" s="193"/>
      <c r="E151" s="193"/>
      <c r="F151" s="193"/>
      <c r="G151" s="2"/>
      <c r="H151" s="32">
        <f>SUM(H146:H146)-SUM(H148:H148)</f>
        <v>12946974.629999999</v>
      </c>
      <c r="I151" s="173" t="s">
        <v>2</v>
      </c>
      <c r="J151" s="36">
        <f>SUM(H$174:H$174)</f>
        <v>3.2975822687149048E-3</v>
      </c>
      <c r="K151" s="173" t="str">
        <f>IF((H$174:H$174)&lt;=SUM(I$98:I$98),"More needs to be distributed.","Too much has been distributed.")</f>
        <v>More needs to be distributed.</v>
      </c>
      <c r="L151" s="173"/>
      <c r="M151" s="173"/>
      <c r="N151" s="173"/>
      <c r="O151" s="173"/>
      <c r="P151" s="173"/>
    </row>
    <row r="152" spans="1:16" customFormat="1" x14ac:dyDescent="0.25">
      <c r="A152" s="173"/>
      <c r="B152" s="173"/>
      <c r="C152" s="193"/>
      <c r="D152" s="193"/>
      <c r="E152" s="193"/>
      <c r="F152" s="193"/>
      <c r="G152" s="2"/>
      <c r="H152" s="173"/>
      <c r="I152" s="173"/>
      <c r="J152" s="173"/>
      <c r="K152" s="173"/>
      <c r="L152" s="173"/>
      <c r="M152" s="173"/>
      <c r="N152" s="173"/>
      <c r="O152" s="173"/>
      <c r="P152" s="173"/>
    </row>
    <row r="153" spans="1:16" customFormat="1" x14ac:dyDescent="0.25">
      <c r="A153" s="173"/>
      <c r="B153" s="173"/>
      <c r="C153" s="193"/>
      <c r="D153" s="193"/>
      <c r="E153" s="193"/>
      <c r="F153" s="193"/>
      <c r="G153" s="2" t="s">
        <v>125</v>
      </c>
      <c r="H153" s="22">
        <f>'[3]ffy22 Justix'!B34</f>
        <v>5686602.2867024168</v>
      </c>
      <c r="I153" s="173" t="str">
        <f>IF(SUM(H153:H153)&lt;&gt;ROUND(SUM(H153:H153),0),"WHOLE DOLLARS","")</f>
        <v>WHOLE DOLLARS</v>
      </c>
      <c r="J153" s="173"/>
      <c r="K153" s="173"/>
      <c r="L153" s="173"/>
      <c r="M153" s="173"/>
      <c r="N153" s="173"/>
      <c r="O153" s="173"/>
      <c r="P153" s="173"/>
    </row>
    <row r="154" spans="1:16" customFormat="1" x14ac:dyDescent="0.25">
      <c r="A154" s="173"/>
      <c r="B154" s="173"/>
      <c r="C154" s="181"/>
      <c r="D154" s="181"/>
      <c r="E154" s="181"/>
      <c r="F154" s="181"/>
      <c r="G154" s="2"/>
      <c r="H154" s="173"/>
      <c r="I154" s="173"/>
      <c r="J154" s="173"/>
      <c r="K154" s="173"/>
      <c r="L154" s="173"/>
      <c r="M154" s="173"/>
      <c r="N154" s="173"/>
      <c r="O154" s="173"/>
      <c r="P154" s="173"/>
    </row>
    <row r="155" spans="1:16" customFormat="1" ht="12.75" customHeight="1" x14ac:dyDescent="0.25">
      <c r="A155" s="173"/>
      <c r="B155" s="173"/>
      <c r="C155" s="193" t="s">
        <v>126</v>
      </c>
      <c r="D155" s="193"/>
      <c r="E155" s="193"/>
      <c r="F155" s="193"/>
      <c r="G155" s="2"/>
      <c r="H155" s="173"/>
      <c r="I155" s="173"/>
      <c r="J155" s="173"/>
      <c r="K155" s="173"/>
      <c r="L155" s="173"/>
      <c r="M155" s="173"/>
      <c r="N155" s="173"/>
      <c r="O155" s="173"/>
      <c r="P155" s="173"/>
    </row>
    <row r="156" spans="1:16" customFormat="1" x14ac:dyDescent="0.25">
      <c r="A156" s="173"/>
      <c r="B156" s="173"/>
      <c r="C156" s="193"/>
      <c r="D156" s="193"/>
      <c r="E156" s="193"/>
      <c r="F156" s="193"/>
      <c r="G156" s="2"/>
      <c r="H156" s="32">
        <f>SUM(H151:H151)-SUM(H153:H153)</f>
        <v>7260372.3432975821</v>
      </c>
      <c r="I156" s="173" t="s">
        <v>2</v>
      </c>
      <c r="J156" s="36">
        <f>SUM(H$174:H$174)</f>
        <v>3.2975822687149048E-3</v>
      </c>
      <c r="K156" s="173" t="str">
        <f>IF((H$174:H$174)&lt;=SUM(I$98:I$98),"More needs to be distributed.","Too much has been distributed.")</f>
        <v>More needs to be distributed.</v>
      </c>
      <c r="L156" s="173"/>
      <c r="M156" s="173"/>
      <c r="N156" s="173"/>
      <c r="O156" s="173"/>
      <c r="P156" s="173"/>
    </row>
    <row r="157" spans="1:16" customFormat="1" x14ac:dyDescent="0.25">
      <c r="A157" s="173"/>
      <c r="B157" s="173"/>
      <c r="C157" s="193"/>
      <c r="D157" s="193"/>
      <c r="E157" s="193"/>
      <c r="F157" s="193"/>
      <c r="G157" s="2"/>
      <c r="H157" s="173"/>
      <c r="I157" s="173"/>
      <c r="J157" s="173"/>
      <c r="K157" s="173"/>
      <c r="L157" s="173"/>
      <c r="M157" s="173"/>
      <c r="N157" s="173"/>
      <c r="O157" s="173"/>
      <c r="P157" s="173"/>
    </row>
    <row r="158" spans="1:16" customFormat="1" x14ac:dyDescent="0.25">
      <c r="A158" s="173"/>
      <c r="B158" s="173"/>
      <c r="C158" s="193"/>
      <c r="D158" s="193"/>
      <c r="E158" s="193"/>
      <c r="F158" s="193"/>
      <c r="G158" s="2"/>
      <c r="H158" s="173"/>
      <c r="I158" s="173"/>
      <c r="J158" s="173"/>
      <c r="K158" s="173"/>
      <c r="L158" s="173"/>
      <c r="M158" s="173"/>
      <c r="N158" s="173"/>
      <c r="O158" s="173"/>
      <c r="P158" s="173"/>
    </row>
    <row r="159" spans="1:16" customFormat="1" x14ac:dyDescent="0.25">
      <c r="A159" s="173"/>
      <c r="B159" s="173"/>
      <c r="C159" s="193"/>
      <c r="D159" s="193"/>
      <c r="E159" s="193"/>
      <c r="F159" s="193"/>
      <c r="G159" s="2" t="s">
        <v>127</v>
      </c>
      <c r="H159" s="22">
        <f>'[3]ffy22 Justix'!B35</f>
        <v>2624098</v>
      </c>
      <c r="I159" s="173" t="str">
        <f>IF(SUM(H159:H159)&lt;&gt;ROUND(SUM(H159:H159),0),"WHOLE DOLLARS","")</f>
        <v/>
      </c>
      <c r="J159" s="173"/>
      <c r="K159" s="173"/>
      <c r="L159" s="173"/>
      <c r="M159" s="173"/>
      <c r="N159" s="173"/>
      <c r="O159" s="173"/>
      <c r="P159" s="173"/>
    </row>
    <row r="160" spans="1:16" customFormat="1" x14ac:dyDescent="0.25">
      <c r="A160" s="173"/>
      <c r="B160" s="173"/>
      <c r="C160" s="181"/>
      <c r="D160" s="181"/>
      <c r="E160" s="181"/>
      <c r="F160" s="181"/>
      <c r="G160" s="2"/>
      <c r="H160" s="173"/>
      <c r="I160" s="173"/>
      <c r="J160" s="173"/>
      <c r="K160" s="173"/>
      <c r="L160" s="173"/>
      <c r="M160" s="173"/>
      <c r="N160" s="173"/>
      <c r="O160" s="173"/>
      <c r="P160" s="173"/>
    </row>
    <row r="161" spans="1:21" ht="12.75" customHeight="1" x14ac:dyDescent="0.25">
      <c r="A161" s="173"/>
      <c r="B161" s="173"/>
      <c r="C161" s="195" t="s">
        <v>128</v>
      </c>
      <c r="D161" s="196"/>
      <c r="E161" s="196"/>
      <c r="F161" s="196"/>
      <c r="G161" s="2"/>
      <c r="H161" s="173"/>
      <c r="I161" s="173"/>
      <c r="J161" s="173"/>
      <c r="K161" s="173"/>
      <c r="L161" s="173"/>
      <c r="M161" s="173"/>
      <c r="N161" s="173"/>
      <c r="O161" s="173"/>
      <c r="P161" s="173"/>
    </row>
    <row r="162" spans="1:21" x14ac:dyDescent="0.25">
      <c r="A162" s="173"/>
      <c r="B162" s="173"/>
      <c r="C162" s="196"/>
      <c r="D162" s="196"/>
      <c r="E162" s="196"/>
      <c r="F162" s="196"/>
      <c r="G162" s="2"/>
      <c r="H162" s="173"/>
      <c r="I162" s="173"/>
      <c r="J162" s="173"/>
      <c r="K162" s="173"/>
      <c r="L162" s="173"/>
      <c r="M162" s="173"/>
      <c r="N162" s="173"/>
      <c r="O162" s="173"/>
      <c r="P162" s="173"/>
    </row>
    <row r="163" spans="1:21" x14ac:dyDescent="0.25">
      <c r="A163" s="173"/>
      <c r="B163" s="173"/>
      <c r="C163" s="196"/>
      <c r="D163" s="196"/>
      <c r="E163" s="196"/>
      <c r="F163" s="196"/>
      <c r="G163" s="2"/>
      <c r="H163" s="173"/>
      <c r="I163" s="173"/>
      <c r="J163" s="173"/>
      <c r="K163" s="173"/>
      <c r="L163" s="173"/>
      <c r="M163" s="173"/>
      <c r="N163" s="173"/>
      <c r="O163" s="173"/>
      <c r="P163" s="173"/>
    </row>
    <row r="164" spans="1:21" x14ac:dyDescent="0.25">
      <c r="A164" s="173"/>
      <c r="B164" s="173"/>
      <c r="C164" s="196"/>
      <c r="D164" s="196"/>
      <c r="E164" s="196"/>
      <c r="F164" s="196"/>
      <c r="G164" s="2"/>
      <c r="H164" s="173"/>
      <c r="I164" s="173"/>
      <c r="J164" s="173"/>
      <c r="K164" s="173"/>
      <c r="L164" s="173"/>
      <c r="M164" s="173"/>
      <c r="N164" s="173"/>
      <c r="O164" s="173"/>
      <c r="P164" s="173"/>
    </row>
    <row r="165" spans="1:21" x14ac:dyDescent="0.25">
      <c r="A165" s="173"/>
      <c r="B165" s="173"/>
      <c r="C165" s="196"/>
      <c r="D165" s="196"/>
      <c r="E165" s="196"/>
      <c r="F165" s="196"/>
      <c r="G165" s="2"/>
      <c r="H165" s="32">
        <f>SUM(H156:H156)-SUM(H159:H159)</f>
        <v>4636274.3432975821</v>
      </c>
      <c r="I165" s="173" t="s">
        <v>2</v>
      </c>
      <c r="J165" s="36">
        <f>SUM(H$174:H$174)</f>
        <v>3.2975822687149048E-3</v>
      </c>
      <c r="K165" s="173" t="str">
        <f>IF((H$174:H$174)&lt;=SUM(I$98:I$98),"More needs to be distributed.","Too much has been distributed.")</f>
        <v>More needs to be distributed.</v>
      </c>
      <c r="L165" s="173"/>
      <c r="M165" s="173"/>
      <c r="N165" s="173"/>
      <c r="O165" s="173"/>
      <c r="P165" s="173"/>
    </row>
    <row r="166" spans="1:21" x14ac:dyDescent="0.25">
      <c r="A166" s="173"/>
      <c r="B166" s="173"/>
      <c r="C166" s="196"/>
      <c r="D166" s="196"/>
      <c r="E166" s="196"/>
      <c r="F166" s="196"/>
      <c r="G166" s="2"/>
      <c r="H166" s="173"/>
      <c r="I166" s="173"/>
      <c r="J166" s="173"/>
      <c r="K166" s="173"/>
      <c r="L166" s="173"/>
      <c r="M166" s="173"/>
      <c r="N166" s="173"/>
      <c r="O166" s="173"/>
      <c r="P166" s="173"/>
    </row>
    <row r="167" spans="1:21" x14ac:dyDescent="0.25">
      <c r="A167" s="173"/>
      <c r="B167" s="173"/>
      <c r="C167" s="196"/>
      <c r="D167" s="196"/>
      <c r="E167" s="196"/>
      <c r="F167" s="196"/>
      <c r="G167" s="2"/>
      <c r="H167" s="173"/>
      <c r="I167" s="173"/>
      <c r="J167" s="173"/>
      <c r="K167" s="173"/>
      <c r="L167" s="173"/>
      <c r="M167" s="173"/>
      <c r="N167" s="173"/>
      <c r="O167" s="173"/>
      <c r="P167" s="173"/>
    </row>
    <row r="168" spans="1:21" x14ac:dyDescent="0.25">
      <c r="A168" s="173"/>
      <c r="B168" s="173"/>
      <c r="C168" s="196"/>
      <c r="D168" s="196"/>
      <c r="E168" s="196"/>
      <c r="F168" s="196"/>
      <c r="G168" s="2"/>
      <c r="H168" s="173"/>
      <c r="I168" s="173"/>
      <c r="J168" s="173"/>
      <c r="K168" s="173"/>
      <c r="L168" s="173"/>
      <c r="M168" s="173"/>
      <c r="N168" s="173"/>
      <c r="O168" s="173"/>
      <c r="P168" s="173"/>
    </row>
    <row r="169" spans="1:21" x14ac:dyDescent="0.25">
      <c r="A169" s="173"/>
      <c r="B169" s="173"/>
      <c r="C169" s="196"/>
      <c r="D169" s="196"/>
      <c r="E169" s="196"/>
      <c r="F169" s="196"/>
      <c r="G169" s="2"/>
      <c r="H169" s="173"/>
      <c r="I169" s="173"/>
      <c r="J169" s="173"/>
      <c r="K169" s="173"/>
      <c r="L169" s="173"/>
      <c r="M169" s="173"/>
      <c r="N169" s="173"/>
      <c r="O169" s="173"/>
      <c r="P169" s="173"/>
    </row>
    <row r="170" spans="1:21" x14ac:dyDescent="0.25">
      <c r="A170" s="173"/>
      <c r="B170" s="173"/>
      <c r="C170" s="196"/>
      <c r="D170" s="196"/>
      <c r="E170" s="196"/>
      <c r="F170" s="196"/>
      <c r="G170" s="2"/>
      <c r="H170" s="173"/>
      <c r="I170" s="173"/>
      <c r="J170" s="173"/>
      <c r="K170" s="173"/>
      <c r="L170" s="173"/>
      <c r="M170" s="173"/>
      <c r="N170" s="173"/>
      <c r="O170" s="173"/>
      <c r="P170" s="173"/>
    </row>
    <row r="171" spans="1:21" x14ac:dyDescent="0.25">
      <c r="A171" s="173"/>
      <c r="B171" s="173"/>
      <c r="C171" s="196"/>
      <c r="D171" s="196"/>
      <c r="E171" s="196"/>
      <c r="F171" s="196"/>
      <c r="G171" s="2"/>
      <c r="H171" s="173"/>
      <c r="I171" s="173"/>
      <c r="J171" s="173"/>
      <c r="K171" s="173"/>
      <c r="L171" s="173"/>
      <c r="M171" s="173"/>
      <c r="N171" s="173"/>
      <c r="O171" s="173"/>
      <c r="P171" s="173"/>
    </row>
    <row r="172" spans="1:21" x14ac:dyDescent="0.25">
      <c r="A172" s="173"/>
      <c r="B172" s="173"/>
      <c r="C172" s="196"/>
      <c r="D172" s="196"/>
      <c r="E172" s="196"/>
      <c r="F172" s="196"/>
      <c r="G172" s="2" t="s">
        <v>129</v>
      </c>
      <c r="H172" s="22">
        <f>'[3]ffy22 Justix'!B36</f>
        <v>4636274.34</v>
      </c>
      <c r="I172" s="173" t="str">
        <f>IF(SUM(H172:H172)&lt;&gt;ROUND(SUM(H172:H172),0),"WHOLE DOLLARS","")</f>
        <v>WHOLE DOLLARS</v>
      </c>
      <c r="J172" s="173"/>
      <c r="K172" s="173"/>
      <c r="L172" s="173"/>
      <c r="M172" s="173"/>
      <c r="N172" s="173"/>
      <c r="O172" s="173"/>
      <c r="P172" s="173"/>
    </row>
    <row r="173" spans="1:21" x14ac:dyDescent="0.25">
      <c r="A173" s="173"/>
      <c r="B173" s="173"/>
      <c r="C173" s="181"/>
      <c r="D173" s="181"/>
      <c r="E173" s="181"/>
      <c r="F173" s="181"/>
      <c r="G173" s="2"/>
      <c r="H173" s="173"/>
      <c r="I173" s="173"/>
      <c r="J173" s="173"/>
      <c r="K173" s="173"/>
      <c r="L173" s="173"/>
      <c r="M173" s="173"/>
      <c r="N173" s="173"/>
      <c r="O173" s="173"/>
      <c r="P173" s="173"/>
    </row>
    <row r="174" spans="1:21" x14ac:dyDescent="0.25">
      <c r="A174" s="173"/>
      <c r="B174" s="173"/>
      <c r="C174" s="181"/>
      <c r="D174" s="181"/>
      <c r="E174" s="181"/>
      <c r="F174" s="181"/>
      <c r="G174" s="2"/>
      <c r="H174" s="32">
        <f>SUM(H165:H165)-SUM(H172:H172)</f>
        <v>3.2975822687149048E-3</v>
      </c>
      <c r="I174" s="173" t="s">
        <v>2</v>
      </c>
      <c r="J174" s="173"/>
      <c r="K174" s="173"/>
      <c r="L174" s="173"/>
      <c r="M174" s="173"/>
      <c r="N174" s="173"/>
      <c r="O174" s="173"/>
      <c r="P174" s="173"/>
    </row>
    <row r="175" spans="1:21" x14ac:dyDescent="0.25">
      <c r="A175" s="173"/>
      <c r="B175" s="173"/>
      <c r="C175" s="173"/>
      <c r="D175" s="173"/>
      <c r="E175" s="173"/>
      <c r="F175" s="173"/>
      <c r="G175" s="2"/>
      <c r="H175" s="173"/>
      <c r="I175" s="173"/>
      <c r="J175" s="173"/>
      <c r="K175" s="173"/>
      <c r="L175" s="173"/>
      <c r="M175" s="173"/>
      <c r="N175" s="173"/>
      <c r="O175" s="173"/>
      <c r="P175" s="173"/>
      <c r="U175" s="39" t="s">
        <v>2</v>
      </c>
    </row>
    <row r="176" spans="1:21" x14ac:dyDescent="0.25">
      <c r="A176" s="173"/>
      <c r="B176" s="173"/>
      <c r="C176" s="173"/>
      <c r="D176" s="24" t="s">
        <v>130</v>
      </c>
      <c r="E176" s="173"/>
      <c r="F176" s="173"/>
      <c r="G176" s="2"/>
      <c r="H176" s="23"/>
      <c r="I176" s="23">
        <f>SUM(I98:I98)-SUM(H174:H174)</f>
        <v>32515543.996702418</v>
      </c>
      <c r="J176" s="191" t="str">
        <f>IF(I176&gt;SUM(I98:I98),"PROBLEM - You have distributed more than you said you want to set aside for Other State-Level Activities.",(IF(I176&lt;SUM(I98:I98),"PROBLEM - You have not distributed as much as you said you wanted to set aside for Other State-Level Activities.","OK")))</f>
        <v>PROBLEM - You have not distributed as much as you said you wanted to set aside for Other State-Level Activities.</v>
      </c>
      <c r="K176" s="191"/>
      <c r="L176" s="191"/>
      <c r="M176" s="191"/>
      <c r="N176" s="191"/>
      <c r="O176" s="191"/>
      <c r="P176" s="191"/>
      <c r="U176" s="39"/>
    </row>
    <row r="177" spans="1:16" customFormat="1" x14ac:dyDescent="0.25">
      <c r="A177" s="173"/>
      <c r="B177" s="173"/>
      <c r="C177" s="173"/>
      <c r="D177" s="24"/>
      <c r="E177" s="173"/>
      <c r="F177" s="173"/>
      <c r="G177" s="2"/>
      <c r="H177" s="23"/>
      <c r="I177" s="23"/>
      <c r="J177" s="191"/>
      <c r="K177" s="191"/>
      <c r="L177" s="191"/>
      <c r="M177" s="191"/>
      <c r="N177" s="191"/>
      <c r="O177" s="191"/>
      <c r="P177" s="191"/>
    </row>
    <row r="178" spans="1:16" customFormat="1" x14ac:dyDescent="0.25">
      <c r="A178" s="173"/>
      <c r="B178" s="173"/>
      <c r="C178" s="173"/>
      <c r="D178" s="173"/>
      <c r="E178" s="173"/>
      <c r="F178" s="173"/>
      <c r="G178" s="2"/>
      <c r="H178" s="23"/>
      <c r="I178" s="23"/>
      <c r="J178" s="191" t="str">
        <f>IF(J176&lt;&gt;"OK","The difference between what you said you wanted to set aside and the details of what you have set aside is","")</f>
        <v>The difference between what you said you wanted to set aside and the details of what you have set aside is</v>
      </c>
      <c r="K178" s="191"/>
      <c r="L178" s="191"/>
      <c r="M178" s="191"/>
      <c r="N178" s="191"/>
      <c r="O178" s="191"/>
      <c r="P178" s="191"/>
    </row>
    <row r="179" spans="1:16" customFormat="1" x14ac:dyDescent="0.25">
      <c r="A179" s="173"/>
      <c r="B179" s="173"/>
      <c r="C179" s="173"/>
      <c r="D179" s="173"/>
      <c r="E179" s="173"/>
      <c r="F179" s="173"/>
      <c r="G179" s="2"/>
      <c r="H179" s="23"/>
      <c r="I179" s="23"/>
      <c r="J179" s="191"/>
      <c r="K179" s="191"/>
      <c r="L179" s="191"/>
      <c r="M179" s="191"/>
      <c r="N179" s="191"/>
      <c r="O179" s="191"/>
      <c r="P179" s="191"/>
    </row>
    <row r="180" spans="1:16" customFormat="1" x14ac:dyDescent="0.25">
      <c r="A180" s="173" t="s">
        <v>131</v>
      </c>
      <c r="B180" s="173"/>
      <c r="C180" s="173"/>
      <c r="D180" s="173"/>
      <c r="E180" s="173"/>
      <c r="F180" s="173"/>
      <c r="G180" s="2"/>
      <c r="H180" s="173"/>
      <c r="I180" s="173"/>
      <c r="J180" s="40">
        <f>IF(SUM(I176:I176)&gt;SUM(I98:I98),SUM(I176:I176)-SUM(I98:I98),(IF(SUM(I176:I176)&lt;SUM(I98:I98),SUM(I98:I98)-SUM(I176:I176),"")))</f>
        <v>3.2975822687149048E-3</v>
      </c>
      <c r="K180" s="173"/>
      <c r="L180" s="173"/>
      <c r="M180" s="173"/>
      <c r="N180" s="173"/>
      <c r="O180" s="173"/>
      <c r="P180" s="173"/>
    </row>
    <row r="181" spans="1:16" customFormat="1" x14ac:dyDescent="0.25">
      <c r="A181" s="173" t="s">
        <v>132</v>
      </c>
      <c r="B181" s="173"/>
      <c r="C181" s="173"/>
      <c r="D181" s="173"/>
      <c r="E181" s="173"/>
      <c r="F181" s="173"/>
      <c r="G181" s="2"/>
      <c r="H181" s="173"/>
      <c r="I181" s="173"/>
      <c r="J181" s="173"/>
      <c r="K181" s="173"/>
      <c r="L181" s="173"/>
      <c r="M181" s="173"/>
      <c r="N181" s="173"/>
      <c r="O181" s="173"/>
      <c r="P181" s="173"/>
    </row>
    <row r="182" spans="1:16" customFormat="1" x14ac:dyDescent="0.25">
      <c r="A182" s="173" t="s">
        <v>133</v>
      </c>
      <c r="B182" s="173"/>
      <c r="C182" s="173"/>
      <c r="D182" s="173"/>
      <c r="E182" s="173"/>
      <c r="F182" s="173"/>
      <c r="G182" s="2"/>
      <c r="H182" s="173"/>
      <c r="I182" s="173"/>
      <c r="J182" s="173"/>
      <c r="K182" s="173"/>
      <c r="L182" s="173"/>
      <c r="M182" s="173"/>
      <c r="N182" s="173"/>
      <c r="O182" s="173"/>
      <c r="P182" s="173"/>
    </row>
    <row r="183" spans="1:16" customFormat="1" x14ac:dyDescent="0.25">
      <c r="A183" s="192">
        <f>(H110)</f>
        <v>0</v>
      </c>
      <c r="B183" s="192"/>
      <c r="C183" s="192"/>
      <c r="D183" s="173"/>
      <c r="E183" s="173"/>
      <c r="F183" s="173"/>
      <c r="G183" s="2"/>
      <c r="H183" s="173"/>
      <c r="I183" s="173"/>
      <c r="J183" s="173"/>
      <c r="K183" s="173"/>
      <c r="L183" s="173"/>
      <c r="M183" s="173"/>
      <c r="N183" s="173"/>
      <c r="O183" s="173"/>
      <c r="P183" s="173"/>
    </row>
    <row r="184" spans="1:16" customFormat="1" x14ac:dyDescent="0.25">
      <c r="A184" s="173"/>
      <c r="B184" s="173"/>
      <c r="C184" s="173"/>
      <c r="D184" s="173"/>
      <c r="E184" s="173"/>
      <c r="F184" s="173"/>
      <c r="G184" s="2"/>
      <c r="H184" s="173"/>
      <c r="I184" s="173"/>
      <c r="J184" s="173"/>
      <c r="K184" s="173"/>
      <c r="L184" s="173"/>
      <c r="M184" s="173"/>
      <c r="N184" s="173"/>
      <c r="O184" s="173"/>
      <c r="P184" s="173"/>
    </row>
    <row r="185" spans="1:16" customFormat="1" ht="12.75" customHeight="1" x14ac:dyDescent="0.25">
      <c r="A185" s="173"/>
      <c r="B185" s="173"/>
      <c r="C185" s="193" t="s">
        <v>134</v>
      </c>
      <c r="D185" s="193"/>
      <c r="E185" s="193"/>
      <c r="F185" s="193"/>
      <c r="G185" s="2"/>
      <c r="H185" s="173"/>
      <c r="I185" s="173"/>
      <c r="J185" s="173"/>
      <c r="K185" s="173"/>
      <c r="L185" s="173"/>
      <c r="M185" s="173"/>
      <c r="N185" s="173"/>
      <c r="O185" s="173"/>
      <c r="P185" s="173"/>
    </row>
    <row r="186" spans="1:16" customFormat="1" x14ac:dyDescent="0.25">
      <c r="A186" s="173"/>
      <c r="B186" s="173"/>
      <c r="C186" s="193"/>
      <c r="D186" s="193"/>
      <c r="E186" s="193"/>
      <c r="F186" s="193"/>
      <c r="G186" s="2"/>
      <c r="H186" s="173"/>
      <c r="I186" s="173"/>
      <c r="J186" s="173"/>
      <c r="K186" s="173"/>
      <c r="L186" s="173"/>
      <c r="M186" s="173"/>
      <c r="N186" s="173"/>
      <c r="O186" s="173"/>
      <c r="P186" s="173"/>
    </row>
    <row r="187" spans="1:16" customFormat="1" x14ac:dyDescent="0.25">
      <c r="A187" s="173"/>
      <c r="B187" s="173"/>
      <c r="C187" s="193"/>
      <c r="D187" s="193"/>
      <c r="E187" s="193"/>
      <c r="F187" s="193"/>
      <c r="G187" s="2" t="s">
        <v>135</v>
      </c>
      <c r="H187" s="22" t="s">
        <v>2</v>
      </c>
      <c r="I187" s="173" t="str">
        <f>IF(SUM(H187:H187)&lt;&gt;ROUND(SUM(H187:H187),0),"WHOLE DOLLARS","")</f>
        <v/>
      </c>
      <c r="J187" s="173"/>
      <c r="K187" s="173"/>
      <c r="L187" s="173"/>
      <c r="M187" s="173"/>
      <c r="N187" s="173"/>
      <c r="O187" s="173"/>
      <c r="P187" s="173"/>
    </row>
    <row r="188" spans="1:16" customFormat="1" x14ac:dyDescent="0.25">
      <c r="A188" s="173"/>
      <c r="B188" s="173"/>
      <c r="C188" s="181"/>
      <c r="D188" s="181"/>
      <c r="E188" s="181"/>
      <c r="F188" s="181"/>
      <c r="G188" s="2"/>
      <c r="H188" s="173"/>
      <c r="I188" s="173"/>
      <c r="J188" s="173"/>
      <c r="K188" s="173"/>
      <c r="L188" s="173"/>
      <c r="M188" s="173"/>
      <c r="N188" s="173"/>
      <c r="O188" s="173"/>
      <c r="P188" s="173"/>
    </row>
    <row r="189" spans="1:16" customFormat="1" ht="12.75" customHeight="1" x14ac:dyDescent="0.25">
      <c r="A189" s="173"/>
      <c r="B189" s="173"/>
      <c r="C189" s="193" t="s">
        <v>136</v>
      </c>
      <c r="D189" s="193"/>
      <c r="E189" s="193"/>
      <c r="F189" s="193"/>
      <c r="G189" s="2"/>
      <c r="H189" s="173"/>
      <c r="I189" s="173"/>
      <c r="J189" s="173"/>
      <c r="K189" s="173"/>
      <c r="L189" s="173"/>
      <c r="M189" s="173"/>
      <c r="N189" s="173"/>
      <c r="O189" s="173"/>
      <c r="P189" s="173"/>
    </row>
    <row r="190" spans="1:16" customFormat="1" x14ac:dyDescent="0.25">
      <c r="A190" s="173"/>
      <c r="B190" s="173"/>
      <c r="C190" s="193"/>
      <c r="D190" s="193"/>
      <c r="E190" s="193"/>
      <c r="F190" s="193"/>
      <c r="G190" s="2"/>
      <c r="H190" s="173"/>
      <c r="I190" s="173"/>
      <c r="J190" s="173"/>
      <c r="K190" s="173"/>
      <c r="L190" s="173"/>
      <c r="M190" s="173"/>
      <c r="N190" s="173"/>
      <c r="O190" s="173"/>
      <c r="P190" s="173"/>
    </row>
    <row r="191" spans="1:16" customFormat="1" x14ac:dyDescent="0.25">
      <c r="A191" s="173"/>
      <c r="B191" s="173"/>
      <c r="C191" s="193"/>
      <c r="D191" s="193"/>
      <c r="E191" s="193"/>
      <c r="F191" s="193"/>
      <c r="G191" s="2"/>
      <c r="H191" s="173"/>
      <c r="I191" s="173"/>
      <c r="J191" s="173"/>
      <c r="K191" s="173"/>
      <c r="L191" s="173"/>
      <c r="M191" s="173"/>
      <c r="N191" s="173"/>
      <c r="O191" s="173"/>
      <c r="P191" s="173"/>
    </row>
    <row r="192" spans="1:16" customFormat="1" x14ac:dyDescent="0.25">
      <c r="A192" s="173"/>
      <c r="B192" s="173"/>
      <c r="C192" s="193"/>
      <c r="D192" s="193"/>
      <c r="E192" s="193"/>
      <c r="F192" s="193"/>
      <c r="G192" s="2"/>
      <c r="H192" s="173"/>
      <c r="I192" s="173"/>
      <c r="J192" s="173"/>
      <c r="K192" s="173"/>
      <c r="L192" s="173"/>
      <c r="M192" s="173"/>
      <c r="N192" s="173"/>
      <c r="O192" s="173"/>
      <c r="P192" s="173"/>
    </row>
    <row r="193" spans="1:26" x14ac:dyDescent="0.25">
      <c r="A193" s="173"/>
      <c r="B193" s="173"/>
      <c r="C193" s="193"/>
      <c r="D193" s="193"/>
      <c r="E193" s="193"/>
      <c r="F193" s="193"/>
      <c r="G193" s="2" t="s">
        <v>137</v>
      </c>
      <c r="H193" s="22" t="s">
        <v>2</v>
      </c>
      <c r="I193" s="173" t="str">
        <f>IF(SUM(H193:H193)&lt;&gt;ROUND(SUM(H193:H193),0),"WHOLE DOLLARS","")</f>
        <v/>
      </c>
      <c r="J193" s="174" t="str">
        <f>IF(SUM(H193:H193)&gt;(ROUND(SUM(H110:H110)*0.05,0)),"PROBLEM - This is more than 5% of the High Cost Fund.  5% is","")</f>
        <v/>
      </c>
      <c r="K193" s="173"/>
      <c r="L193" s="173"/>
      <c r="M193" s="173"/>
      <c r="N193" s="173"/>
      <c r="O193" s="173"/>
      <c r="P193" s="173"/>
    </row>
    <row r="194" spans="1:26" x14ac:dyDescent="0.25">
      <c r="A194" s="173"/>
      <c r="B194" s="173"/>
      <c r="C194" s="180"/>
      <c r="D194" s="180"/>
      <c r="E194" s="180"/>
      <c r="F194" s="180"/>
      <c r="G194" s="2"/>
      <c r="H194" s="23"/>
      <c r="I194" s="173"/>
      <c r="J194" s="172" t="str">
        <f>IF(SUM(H193:H193)&gt;ROUND(SUM(H110:H110)*0.05,0),ROUND(H110*0.05,0),"")</f>
        <v/>
      </c>
      <c r="K194" s="173"/>
      <c r="L194" s="173"/>
      <c r="M194" s="173"/>
      <c r="N194" s="173"/>
      <c r="O194" s="173"/>
      <c r="P194" s="173"/>
    </row>
    <row r="195" spans="1:26" x14ac:dyDescent="0.25">
      <c r="A195" s="173"/>
      <c r="B195" s="173"/>
      <c r="C195" s="181"/>
      <c r="D195" s="181"/>
      <c r="E195" s="181"/>
      <c r="F195" s="181"/>
      <c r="G195" s="2"/>
      <c r="H195" s="173"/>
      <c r="I195" s="173"/>
      <c r="J195" s="173"/>
      <c r="K195" s="173"/>
      <c r="L195" s="173"/>
      <c r="M195" s="173"/>
      <c r="N195" s="173"/>
      <c r="O195" s="173"/>
      <c r="P195" s="173"/>
    </row>
    <row r="196" spans="1:26" ht="12.75" customHeight="1" x14ac:dyDescent="0.25">
      <c r="A196" s="173"/>
      <c r="B196" s="173"/>
      <c r="C196" s="193" t="s">
        <v>138</v>
      </c>
      <c r="D196" s="193"/>
      <c r="E196" s="193"/>
      <c r="F196" s="193"/>
      <c r="G196" s="2"/>
      <c r="H196" s="173"/>
      <c r="I196" s="173"/>
      <c r="J196" s="173"/>
      <c r="K196" s="173"/>
      <c r="L196" s="173"/>
      <c r="M196" s="173"/>
      <c r="N196" s="173"/>
      <c r="O196" s="173"/>
      <c r="P196" s="173"/>
    </row>
    <row r="197" spans="1:26" x14ac:dyDescent="0.25">
      <c r="A197" s="173"/>
      <c r="B197" s="173"/>
      <c r="C197" s="193"/>
      <c r="D197" s="193"/>
      <c r="E197" s="193"/>
      <c r="F197" s="193"/>
      <c r="G197" s="2"/>
      <c r="H197" s="173"/>
      <c r="I197" s="173"/>
      <c r="J197" s="173"/>
      <c r="K197" s="173"/>
      <c r="L197" s="173"/>
      <c r="M197" s="173"/>
      <c r="N197" s="173"/>
      <c r="O197" s="173"/>
      <c r="P197" s="173"/>
    </row>
    <row r="198" spans="1:26" x14ac:dyDescent="0.25">
      <c r="A198" s="173"/>
      <c r="B198" s="173"/>
      <c r="C198" s="193"/>
      <c r="D198" s="193"/>
      <c r="E198" s="193"/>
      <c r="F198" s="193"/>
      <c r="G198" s="2"/>
      <c r="H198" s="173"/>
      <c r="I198" s="173"/>
      <c r="J198" s="173"/>
      <c r="K198" s="173"/>
      <c r="L198" s="173"/>
      <c r="M198" s="173"/>
      <c r="N198" s="173"/>
      <c r="O198" s="173"/>
      <c r="P198" s="173"/>
    </row>
    <row r="199" spans="1:26" x14ac:dyDescent="0.25">
      <c r="A199" s="173"/>
      <c r="B199" s="173"/>
      <c r="C199" s="193"/>
      <c r="D199" s="193"/>
      <c r="E199" s="193"/>
      <c r="F199" s="193"/>
      <c r="G199" s="20"/>
      <c r="H199" s="173"/>
      <c r="I199" s="173"/>
      <c r="J199" s="173"/>
      <c r="K199" s="173"/>
      <c r="L199" s="173"/>
      <c r="M199" s="173"/>
      <c r="N199" s="173"/>
      <c r="O199" s="173"/>
      <c r="P199" s="173"/>
    </row>
    <row r="200" spans="1:26" x14ac:dyDescent="0.25">
      <c r="A200" s="173"/>
      <c r="B200" s="173"/>
      <c r="C200" s="180"/>
      <c r="D200" s="180"/>
      <c r="E200" s="180"/>
      <c r="F200" s="180"/>
      <c r="G200" s="20"/>
      <c r="H200" s="173"/>
      <c r="I200" s="173"/>
      <c r="J200" s="173"/>
      <c r="K200" s="173"/>
      <c r="L200" s="173"/>
      <c r="M200" s="173"/>
      <c r="N200" s="173"/>
      <c r="O200" s="173"/>
      <c r="P200" s="173"/>
    </row>
    <row r="201" spans="1:26" ht="29.25" customHeight="1" x14ac:dyDescent="0.25">
      <c r="A201" s="173"/>
      <c r="B201" s="173"/>
      <c r="C201" s="173"/>
      <c r="D201" s="194" t="s">
        <v>139</v>
      </c>
      <c r="E201" s="194"/>
      <c r="F201" s="194"/>
      <c r="G201" s="21"/>
      <c r="H201" s="41">
        <f>SUM(H187:H193)</f>
        <v>0</v>
      </c>
      <c r="I201" s="23" t="s">
        <v>2</v>
      </c>
      <c r="J201" s="191" t="str">
        <f>IF(SUM(H110:H110)&lt;&gt;H201,"PROBLEM - The sum of these 2 activities must equal what you proposed to use for the High Cost Fund.  The difference is","OK")</f>
        <v>OK</v>
      </c>
      <c r="K201" s="191"/>
      <c r="L201" s="191"/>
      <c r="M201" s="191"/>
      <c r="N201" s="191"/>
      <c r="O201" s="191"/>
      <c r="P201" s="191"/>
    </row>
    <row r="202" spans="1:26" x14ac:dyDescent="0.25">
      <c r="J202" s="39" t="str">
        <f>IF(J201&lt;&gt;"OK",MAX(SUM(H201:H201)-SUM(H110:H110),SUM(H110:H110)-H201),"")</f>
        <v/>
      </c>
    </row>
    <row r="203" spans="1:26" x14ac:dyDescent="0.25">
      <c r="J203" t="s">
        <v>2</v>
      </c>
    </row>
    <row r="205" spans="1:26" ht="18" x14ac:dyDescent="0.25">
      <c r="Q205" s="43" t="s">
        <v>140</v>
      </c>
      <c r="R205" s="170"/>
      <c r="S205" s="170"/>
      <c r="T205" s="170"/>
      <c r="V205" s="170"/>
      <c r="W205" s="170"/>
      <c r="X205" s="170"/>
      <c r="Y205" s="170"/>
      <c r="Z205" s="170"/>
    </row>
    <row r="206" spans="1:26" x14ac:dyDescent="0.25">
      <c r="Q206" s="170"/>
      <c r="R206" s="170"/>
      <c r="S206" s="170"/>
      <c r="T206" s="170"/>
      <c r="V206" s="170"/>
      <c r="W206" s="170"/>
      <c r="X206" s="170"/>
      <c r="Y206" s="170"/>
      <c r="Z206" s="170" t="s">
        <v>141</v>
      </c>
    </row>
    <row r="207" spans="1:26" x14ac:dyDescent="0.25">
      <c r="Q207" s="171" t="str">
        <f>A1</f>
        <v>Massachusetts</v>
      </c>
      <c r="R207" s="170"/>
      <c r="S207" s="170"/>
      <c r="T207" s="170"/>
      <c r="U207" s="44"/>
      <c r="V207" s="170"/>
      <c r="W207" s="170"/>
      <c r="X207" s="170"/>
      <c r="Y207" s="170"/>
      <c r="Z207" s="170" t="s">
        <v>2</v>
      </c>
    </row>
    <row r="208" spans="1:26" x14ac:dyDescent="0.25">
      <c r="Q208" s="170"/>
      <c r="R208" s="170"/>
      <c r="S208" s="170"/>
      <c r="T208" s="170"/>
      <c r="U208" s="44"/>
      <c r="V208" s="170"/>
      <c r="W208" s="170"/>
      <c r="X208" s="170"/>
      <c r="Y208" s="170"/>
      <c r="Z208" s="170"/>
    </row>
    <row r="209" spans="17:26" customFormat="1" x14ac:dyDescent="0.25">
      <c r="Q209" s="171" t="s">
        <v>142</v>
      </c>
      <c r="R209" s="170"/>
      <c r="S209" s="170"/>
      <c r="T209" s="170"/>
      <c r="U209" s="45">
        <f>ROUND((I11*0.1),0)*-1</f>
        <v>-732204</v>
      </c>
      <c r="V209" s="170"/>
      <c r="W209" s="170"/>
      <c r="X209" s="170"/>
      <c r="Y209" s="170"/>
      <c r="Z209" s="170"/>
    </row>
    <row r="210" spans="17:26" customFormat="1" x14ac:dyDescent="0.25">
      <c r="Q210" s="46"/>
      <c r="R210" s="46"/>
      <c r="S210" s="46"/>
      <c r="T210" s="46"/>
      <c r="U210" s="27"/>
      <c r="V210" s="46"/>
      <c r="W210" s="46"/>
      <c r="X210" s="46"/>
      <c r="Y210" s="46"/>
      <c r="Z210" s="46"/>
    </row>
    <row r="211" spans="17:26" customFormat="1" x14ac:dyDescent="0.25">
      <c r="Q211" s="46"/>
      <c r="R211" s="46" t="s">
        <v>143</v>
      </c>
      <c r="S211" s="46"/>
      <c r="T211" s="46"/>
      <c r="U211" s="44"/>
      <c r="V211" s="46"/>
      <c r="W211" s="46"/>
      <c r="X211" s="46"/>
      <c r="Y211" s="46"/>
      <c r="Z211" s="46"/>
    </row>
    <row r="212" spans="17:26" customFormat="1" x14ac:dyDescent="0.25">
      <c r="Q212" s="46"/>
      <c r="R212" s="170" t="s">
        <v>144</v>
      </c>
      <c r="S212" s="170"/>
      <c r="T212" s="170"/>
      <c r="U212" s="47"/>
      <c r="V212" s="188" t="s">
        <v>145</v>
      </c>
      <c r="W212" s="188"/>
      <c r="X212" s="188"/>
      <c r="Y212" s="188"/>
      <c r="Z212" s="188"/>
    </row>
    <row r="213" spans="17:26" customFormat="1" x14ac:dyDescent="0.25">
      <c r="Q213" s="46"/>
      <c r="R213" s="170" t="s">
        <v>146</v>
      </c>
      <c r="S213" s="170"/>
      <c r="T213" s="170"/>
      <c r="U213" s="47"/>
      <c r="V213" s="170"/>
      <c r="W213" s="170"/>
      <c r="X213" s="170"/>
      <c r="Y213" s="170"/>
      <c r="Z213" s="170"/>
    </row>
    <row r="214" spans="17:26" customFormat="1" x14ac:dyDescent="0.25">
      <c r="Q214" s="46"/>
      <c r="R214" s="46"/>
      <c r="S214" s="46"/>
      <c r="T214" s="46"/>
      <c r="U214" s="47"/>
      <c r="V214" s="46"/>
      <c r="W214" s="46"/>
      <c r="X214" s="46"/>
      <c r="Y214" s="46"/>
      <c r="Z214" s="46"/>
    </row>
    <row r="215" spans="17:26" customFormat="1" x14ac:dyDescent="0.25">
      <c r="Q215" s="46"/>
      <c r="R215" s="46"/>
      <c r="S215" s="179" t="s">
        <v>147</v>
      </c>
      <c r="T215" s="179"/>
      <c r="U215" s="47"/>
      <c r="V215" s="179"/>
      <c r="W215" s="179"/>
      <c r="X215" s="179"/>
      <c r="Y215" s="179"/>
      <c r="Z215" s="48">
        <f>I11</f>
        <v>7322036</v>
      </c>
    </row>
    <row r="216" spans="17:26" customFormat="1" x14ac:dyDescent="0.25">
      <c r="Q216" s="46"/>
      <c r="R216" s="46"/>
      <c r="S216" s="179" t="s">
        <v>148</v>
      </c>
      <c r="T216" s="179"/>
      <c r="U216" s="47"/>
      <c r="V216" s="179"/>
      <c r="W216" s="179"/>
      <c r="X216" s="179"/>
      <c r="Y216" s="179"/>
      <c r="Z216" s="48">
        <f>I9</f>
        <v>7322036</v>
      </c>
    </row>
    <row r="217" spans="17:26" customFormat="1" x14ac:dyDescent="0.25">
      <c r="Q217" s="46"/>
      <c r="R217" s="46"/>
      <c r="S217" s="179"/>
      <c r="T217" s="179"/>
      <c r="U217" s="47"/>
      <c r="V217" s="179"/>
      <c r="W217" s="179"/>
      <c r="X217" s="179"/>
      <c r="Y217" s="179"/>
      <c r="Z217" s="48"/>
    </row>
    <row r="218" spans="17:26" customFormat="1" x14ac:dyDescent="0.25">
      <c r="Q218" s="46"/>
      <c r="R218" s="46"/>
      <c r="S218" s="179" t="s">
        <v>149</v>
      </c>
      <c r="T218" s="179"/>
      <c r="U218" s="44"/>
      <c r="V218" s="179"/>
      <c r="W218" s="179"/>
      <c r="X218" s="179"/>
      <c r="Y218" s="179"/>
      <c r="Z218" s="48"/>
    </row>
    <row r="219" spans="17:26" customFormat="1" x14ac:dyDescent="0.25">
      <c r="Q219" s="46"/>
      <c r="R219" s="46"/>
      <c r="S219" s="179" t="s">
        <v>150</v>
      </c>
      <c r="T219" s="179"/>
      <c r="U219" s="47"/>
      <c r="V219" s="179"/>
      <c r="W219" s="179"/>
      <c r="X219" s="179"/>
      <c r="Y219" s="179"/>
      <c r="Z219" s="48"/>
    </row>
    <row r="220" spans="17:26" customFormat="1" x14ac:dyDescent="0.25">
      <c r="Q220" s="46"/>
      <c r="R220" s="46"/>
      <c r="S220" s="179" t="s">
        <v>151</v>
      </c>
      <c r="T220" s="179"/>
      <c r="U220" s="47"/>
      <c r="V220" s="179"/>
      <c r="W220" s="179"/>
      <c r="X220" s="179"/>
      <c r="Y220" s="179"/>
      <c r="Z220" s="48"/>
    </row>
    <row r="221" spans="17:26" customFormat="1" x14ac:dyDescent="0.25">
      <c r="Q221" s="46"/>
      <c r="R221" s="46"/>
      <c r="S221" s="46"/>
      <c r="T221" s="46"/>
      <c r="U221" s="47"/>
      <c r="V221" s="46"/>
      <c r="W221" s="46"/>
      <c r="X221" s="46"/>
      <c r="Y221" s="46"/>
      <c r="Z221" s="46"/>
    </row>
    <row r="222" spans="17:26" customFormat="1" x14ac:dyDescent="0.25">
      <c r="Q222" s="46"/>
      <c r="R222" s="46"/>
      <c r="S222" s="179" t="s">
        <v>152</v>
      </c>
      <c r="T222" s="179"/>
      <c r="U222" s="47"/>
      <c r="V222" s="179"/>
      <c r="W222" s="179"/>
      <c r="X222" s="179"/>
      <c r="Y222" s="46"/>
      <c r="Z222" s="46"/>
    </row>
    <row r="223" spans="17:26" customFormat="1" x14ac:dyDescent="0.25">
      <c r="Q223" s="46"/>
      <c r="R223" s="46"/>
      <c r="S223" s="179" t="s">
        <v>153</v>
      </c>
      <c r="T223" s="179"/>
      <c r="U223" s="44"/>
      <c r="V223" s="179"/>
      <c r="W223" s="179"/>
      <c r="X223" s="179"/>
      <c r="Y223" s="46"/>
      <c r="Z223" s="46"/>
    </row>
    <row r="224" spans="17:26" customFormat="1" x14ac:dyDescent="0.25">
      <c r="Q224" s="46"/>
      <c r="R224" s="46"/>
      <c r="S224" s="179" t="s">
        <v>154</v>
      </c>
      <c r="T224" s="179"/>
      <c r="U224" s="44"/>
      <c r="V224" s="179"/>
      <c r="W224" s="179"/>
      <c r="X224" s="179"/>
      <c r="Y224" s="46"/>
      <c r="Z224" s="46"/>
    </row>
    <row r="225" spans="17:26" customFormat="1" x14ac:dyDescent="0.25">
      <c r="Q225" s="46"/>
      <c r="R225" s="46"/>
      <c r="S225" s="179" t="s">
        <v>155</v>
      </c>
      <c r="T225" s="179"/>
      <c r="U225" s="44"/>
      <c r="V225" s="179"/>
      <c r="W225" s="179"/>
      <c r="X225" s="179"/>
      <c r="Y225" s="49">
        <f>(H47)</f>
        <v>956541.53</v>
      </c>
      <c r="Z225" s="46"/>
    </row>
    <row r="226" spans="17:26" customFormat="1" x14ac:dyDescent="0.25">
      <c r="Q226" s="46"/>
      <c r="R226" s="46"/>
      <c r="S226" s="46"/>
      <c r="T226" s="46"/>
      <c r="U226" s="44"/>
      <c r="V226" s="46"/>
      <c r="W226" s="46"/>
      <c r="X226" s="46"/>
      <c r="Y226" s="49"/>
      <c r="Z226" s="46"/>
    </row>
    <row r="227" spans="17:26" customFormat="1" x14ac:dyDescent="0.25">
      <c r="Q227" s="46"/>
      <c r="R227" s="46"/>
      <c r="S227" s="179" t="s">
        <v>156</v>
      </c>
      <c r="T227" s="46"/>
      <c r="U227" s="44"/>
      <c r="V227" s="50">
        <f>(D2)</f>
        <v>7322036</v>
      </c>
      <c r="W227" s="51" t="s">
        <v>157</v>
      </c>
      <c r="X227" s="52">
        <f>Z216</f>
        <v>7322036</v>
      </c>
      <c r="Y227" s="46"/>
      <c r="Z227" s="46"/>
    </row>
    <row r="228" spans="17:26" customFormat="1" x14ac:dyDescent="0.25">
      <c r="Q228" s="46"/>
      <c r="R228" s="46"/>
      <c r="S228" s="179" t="s">
        <v>158</v>
      </c>
      <c r="T228" s="46"/>
      <c r="U228" s="44"/>
      <c r="V228" s="46"/>
      <c r="W228" s="46"/>
      <c r="X228" s="46"/>
      <c r="Y228" s="46"/>
      <c r="Z228" s="46"/>
    </row>
    <row r="229" spans="17:26" customFormat="1" x14ac:dyDescent="0.25">
      <c r="Q229" s="46"/>
      <c r="R229" s="46"/>
      <c r="S229" s="171" t="s">
        <v>159</v>
      </c>
      <c r="T229" s="46"/>
      <c r="U229" s="47"/>
      <c r="V229" s="46"/>
      <c r="W229" s="46"/>
      <c r="X229" s="49"/>
      <c r="Y229" s="46"/>
      <c r="Z229" s="46"/>
    </row>
    <row r="230" spans="17:26" customFormat="1" x14ac:dyDescent="0.25">
      <c r="Q230" s="46"/>
      <c r="R230" s="46"/>
      <c r="S230" s="171" t="s">
        <v>160</v>
      </c>
      <c r="T230" s="46"/>
      <c r="U230" s="53">
        <f>B32</f>
        <v>2424845</v>
      </c>
      <c r="V230" s="46"/>
      <c r="W230" s="46"/>
      <c r="X230" s="49"/>
      <c r="Y230" s="46"/>
      <c r="Z230" s="46"/>
    </row>
    <row r="231" spans="17:26" customFormat="1" x14ac:dyDescent="0.25">
      <c r="Q231" s="46"/>
      <c r="R231" s="46"/>
      <c r="S231" s="46"/>
      <c r="T231" s="46"/>
      <c r="U231" s="53"/>
      <c r="V231" s="46"/>
      <c r="W231" s="46"/>
      <c r="X231" s="46"/>
      <c r="Y231" s="46"/>
      <c r="Z231" s="46"/>
    </row>
    <row r="232" spans="17:26" customFormat="1" x14ac:dyDescent="0.25">
      <c r="Q232" s="46"/>
      <c r="R232" s="46"/>
      <c r="S232" s="179" t="s">
        <v>161</v>
      </c>
      <c r="T232" s="179"/>
      <c r="U232" s="47"/>
      <c r="V232" s="179"/>
      <c r="W232" s="179"/>
      <c r="X232" s="46"/>
      <c r="Y232" s="46"/>
      <c r="Z232" s="46"/>
    </row>
    <row r="233" spans="17:26" customFormat="1" x14ac:dyDescent="0.25">
      <c r="Q233" s="46"/>
      <c r="R233" s="46"/>
      <c r="S233" s="189" t="s">
        <v>162</v>
      </c>
      <c r="T233" s="189"/>
      <c r="U233" s="47"/>
      <c r="V233" s="179" t="s">
        <v>163</v>
      </c>
      <c r="W233" s="179"/>
      <c r="X233" s="54"/>
      <c r="Y233" s="46"/>
      <c r="Z233" s="46"/>
    </row>
    <row r="234" spans="17:26" customFormat="1" x14ac:dyDescent="0.25">
      <c r="Q234" s="46"/>
      <c r="R234" s="46"/>
      <c r="S234" s="179" t="s">
        <v>164</v>
      </c>
      <c r="T234" s="179"/>
      <c r="U234" s="44"/>
      <c r="V234" s="179"/>
      <c r="W234" s="179"/>
      <c r="X234" s="54"/>
      <c r="Y234" s="46"/>
      <c r="Z234" s="46"/>
    </row>
    <row r="235" spans="17:26" customFormat="1" x14ac:dyDescent="0.25">
      <c r="Q235" s="46"/>
      <c r="R235" s="46"/>
      <c r="S235" s="179"/>
      <c r="T235" s="179"/>
      <c r="U235" s="44"/>
      <c r="V235" s="179"/>
      <c r="W235" s="179"/>
      <c r="X235" s="179"/>
      <c r="Y235" s="49"/>
      <c r="Z235" s="46"/>
    </row>
    <row r="236" spans="17:26" customFormat="1" x14ac:dyDescent="0.25">
      <c r="Q236" s="46"/>
      <c r="R236" s="46"/>
      <c r="S236" s="179" t="s">
        <v>165</v>
      </c>
      <c r="T236" s="179"/>
      <c r="U236" s="44"/>
      <c r="V236" s="179"/>
      <c r="W236" s="179"/>
      <c r="X236" s="179"/>
      <c r="Y236" s="49"/>
      <c r="Z236" s="46"/>
    </row>
    <row r="237" spans="17:26" customFormat="1" x14ac:dyDescent="0.25">
      <c r="Q237" s="46"/>
      <c r="R237" s="46"/>
      <c r="S237" s="46" t="s">
        <v>2</v>
      </c>
      <c r="T237" s="46"/>
      <c r="U237" s="44"/>
      <c r="V237" s="46"/>
      <c r="W237" s="46"/>
      <c r="X237" s="46"/>
      <c r="Y237" s="49"/>
      <c r="Z237" s="46"/>
    </row>
    <row r="238" spans="17:26" customFormat="1" x14ac:dyDescent="0.25">
      <c r="Q238" s="46"/>
      <c r="R238" s="46"/>
      <c r="S238" s="46"/>
      <c r="T238" s="46" t="s">
        <v>166</v>
      </c>
      <c r="U238" s="44"/>
      <c r="V238" s="46"/>
      <c r="W238" s="46"/>
      <c r="X238" s="46"/>
      <c r="Y238" s="46"/>
      <c r="Z238" s="46"/>
    </row>
    <row r="239" spans="17:26" customFormat="1" x14ac:dyDescent="0.25">
      <c r="Q239" s="46"/>
      <c r="R239" s="46"/>
      <c r="S239" s="46"/>
      <c r="T239" s="46" t="s">
        <v>167</v>
      </c>
      <c r="U239" s="44"/>
      <c r="V239" s="46"/>
      <c r="W239" s="46"/>
      <c r="X239" s="46"/>
      <c r="Y239" s="49" t="s">
        <v>2</v>
      </c>
      <c r="Z239" s="46"/>
    </row>
    <row r="240" spans="17:26" customFormat="1" x14ac:dyDescent="0.25">
      <c r="Q240" s="46"/>
      <c r="R240" s="46"/>
      <c r="S240" s="46"/>
      <c r="T240" s="46"/>
      <c r="U240" s="44"/>
      <c r="V240" s="46"/>
      <c r="W240" s="46"/>
      <c r="X240" s="46"/>
      <c r="Y240" s="49"/>
      <c r="Z240" s="46"/>
    </row>
    <row r="241" spans="17:26" customFormat="1" x14ac:dyDescent="0.25">
      <c r="Q241" s="46" t="s">
        <v>168</v>
      </c>
      <c r="R241" s="46" t="s">
        <v>2</v>
      </c>
      <c r="S241" s="46"/>
      <c r="T241" s="46" t="s">
        <v>169</v>
      </c>
      <c r="U241" s="44"/>
      <c r="V241" s="46"/>
      <c r="W241" s="46"/>
      <c r="X241" s="46"/>
      <c r="Y241" s="170"/>
      <c r="Z241" s="46"/>
    </row>
    <row r="242" spans="17:26" customFormat="1" x14ac:dyDescent="0.25">
      <c r="Q242" s="46"/>
      <c r="R242" s="46"/>
      <c r="S242" s="46"/>
      <c r="T242" s="46" t="s">
        <v>170</v>
      </c>
      <c r="U242" s="44"/>
      <c r="V242" s="46"/>
      <c r="W242" s="46"/>
      <c r="X242" s="46"/>
      <c r="Y242" s="49" t="s">
        <v>2</v>
      </c>
      <c r="Z242" s="46"/>
    </row>
    <row r="243" spans="17:26" customFormat="1" x14ac:dyDescent="0.25">
      <c r="Q243" s="46"/>
      <c r="R243" s="46"/>
      <c r="S243" s="46"/>
      <c r="T243" s="46"/>
      <c r="U243" s="44"/>
      <c r="V243" s="46"/>
      <c r="W243" s="46"/>
      <c r="X243" s="46"/>
      <c r="Y243" s="49"/>
      <c r="Z243" s="46"/>
    </row>
    <row r="244" spans="17:26" customFormat="1" x14ac:dyDescent="0.25">
      <c r="Q244" s="46"/>
      <c r="R244" s="46"/>
      <c r="S244" s="46"/>
      <c r="T244" s="46" t="s">
        <v>171</v>
      </c>
      <c r="U244" s="44"/>
      <c r="V244" s="46"/>
      <c r="W244" s="46"/>
      <c r="X244" s="46"/>
      <c r="Y244" s="49" t="s">
        <v>2</v>
      </c>
      <c r="Z244" s="46"/>
    </row>
    <row r="245" spans="17:26" customFormat="1" x14ac:dyDescent="0.25">
      <c r="Q245" s="46"/>
      <c r="R245" s="46"/>
      <c r="S245" s="46"/>
      <c r="T245" s="46"/>
      <c r="U245" s="44"/>
      <c r="V245" s="46"/>
      <c r="W245" s="46"/>
      <c r="X245" s="46"/>
      <c r="Y245" s="49"/>
      <c r="Z245" s="46"/>
    </row>
    <row r="246" spans="17:26" customFormat="1" x14ac:dyDescent="0.25">
      <c r="Q246" s="46"/>
      <c r="R246" s="46"/>
      <c r="S246" s="46"/>
      <c r="T246" s="46" t="s">
        <v>172</v>
      </c>
      <c r="U246" s="44"/>
      <c r="V246" s="46"/>
      <c r="W246" s="46"/>
      <c r="X246" s="46"/>
      <c r="Y246" s="170"/>
      <c r="Z246" s="46"/>
    </row>
    <row r="247" spans="17:26" customFormat="1" x14ac:dyDescent="0.25">
      <c r="Q247" s="46"/>
      <c r="R247" s="46"/>
      <c r="S247" s="46"/>
      <c r="T247" s="46" t="s">
        <v>173</v>
      </c>
      <c r="U247" s="44"/>
      <c r="V247" s="46"/>
      <c r="W247" s="46"/>
      <c r="X247" s="46"/>
      <c r="Y247" s="49" t="s">
        <v>2</v>
      </c>
      <c r="Z247" s="46"/>
    </row>
    <row r="248" spans="17:26" customFormat="1" x14ac:dyDescent="0.25">
      <c r="Q248" s="46"/>
      <c r="R248" s="46"/>
      <c r="S248" s="46"/>
      <c r="T248" s="46"/>
      <c r="U248" s="44"/>
      <c r="V248" s="46"/>
      <c r="W248" s="46"/>
      <c r="X248" s="46"/>
      <c r="Y248" s="49"/>
      <c r="Z248" s="46"/>
    </row>
    <row r="249" spans="17:26" customFormat="1" x14ac:dyDescent="0.25">
      <c r="Q249" s="179" t="s">
        <v>174</v>
      </c>
      <c r="R249" s="46"/>
      <c r="S249" s="46"/>
      <c r="T249" s="46"/>
      <c r="U249" s="27"/>
      <c r="V249" s="46"/>
      <c r="W249" s="46"/>
      <c r="X249" s="46"/>
      <c r="Y249" s="46"/>
      <c r="Z249" s="46"/>
    </row>
    <row r="250" spans="17:26" customFormat="1" x14ac:dyDescent="0.25">
      <c r="Q250" s="46"/>
      <c r="R250" s="46" t="s">
        <v>2</v>
      </c>
      <c r="S250" s="46"/>
      <c r="T250" s="46"/>
      <c r="U250" s="27"/>
      <c r="V250" s="46"/>
      <c r="W250" s="46"/>
      <c r="X250" s="46"/>
      <c r="Y250" s="46"/>
      <c r="Z250" s="46"/>
    </row>
    <row r="251" spans="17:26" customFormat="1" x14ac:dyDescent="0.25">
      <c r="Q251" s="46"/>
      <c r="R251" s="46" t="s">
        <v>175</v>
      </c>
      <c r="S251" s="46"/>
      <c r="T251" s="46"/>
      <c r="U251" s="27"/>
      <c r="V251" s="46"/>
      <c r="W251" s="46"/>
      <c r="X251" s="46"/>
      <c r="Y251" s="46"/>
      <c r="Z251" s="46"/>
    </row>
    <row r="252" spans="17:26" customFormat="1" x14ac:dyDescent="0.25">
      <c r="Q252" s="46"/>
      <c r="R252" s="170" t="s">
        <v>176</v>
      </c>
      <c r="S252" s="170"/>
      <c r="T252" s="170"/>
      <c r="U252" s="47"/>
      <c r="V252" s="170"/>
      <c r="W252" s="170"/>
      <c r="X252" s="55">
        <f>ROUND((I98*0.1),0)*-1</f>
        <v>-3251554</v>
      </c>
      <c r="Y252" s="170"/>
      <c r="Z252" s="46"/>
    </row>
    <row r="253" spans="17:26" customFormat="1" x14ac:dyDescent="0.25">
      <c r="Q253" s="46"/>
      <c r="R253" s="170" t="s">
        <v>177</v>
      </c>
      <c r="S253" s="170"/>
      <c r="T253" s="170"/>
      <c r="U253" s="47"/>
      <c r="V253" s="170"/>
      <c r="W253" s="170"/>
      <c r="X253" s="170"/>
      <c r="Y253" s="170"/>
      <c r="Z253" s="170"/>
    </row>
    <row r="254" spans="17:26" customFormat="1" x14ac:dyDescent="0.25">
      <c r="Q254" s="46"/>
      <c r="R254" s="170"/>
      <c r="S254" s="170"/>
      <c r="T254" s="170"/>
      <c r="U254" s="44"/>
      <c r="V254" s="170"/>
      <c r="W254" s="170"/>
      <c r="X254" s="170"/>
      <c r="Y254" s="170"/>
      <c r="Z254" s="170"/>
    </row>
    <row r="255" spans="17:26" customFormat="1" x14ac:dyDescent="0.25">
      <c r="Q255" s="46"/>
      <c r="R255" s="46"/>
      <c r="S255" s="179" t="s">
        <v>178</v>
      </c>
      <c r="T255" s="179"/>
      <c r="U255" s="44"/>
      <c r="V255" s="179"/>
      <c r="W255" s="179"/>
      <c r="X255" s="179"/>
      <c r="Y255" s="179"/>
      <c r="Z255" s="54">
        <f>I98</f>
        <v>32515544</v>
      </c>
    </row>
    <row r="256" spans="17:26" customFormat="1" x14ac:dyDescent="0.25">
      <c r="Q256" s="46"/>
      <c r="R256" s="46"/>
      <c r="S256" s="179" t="s">
        <v>179</v>
      </c>
      <c r="T256" s="179"/>
      <c r="U256" s="44"/>
      <c r="V256" s="179"/>
      <c r="W256" s="179"/>
      <c r="X256" s="179"/>
      <c r="Y256" s="179"/>
      <c r="Z256" s="54"/>
    </row>
    <row r="257" spans="17:26" customFormat="1" x14ac:dyDescent="0.25">
      <c r="Q257" s="46"/>
      <c r="R257" s="46"/>
      <c r="S257" s="179" t="s">
        <v>180</v>
      </c>
      <c r="T257" s="46"/>
      <c r="U257" s="44"/>
      <c r="V257" s="46"/>
      <c r="W257" s="46"/>
      <c r="X257" s="46"/>
      <c r="Y257" s="46"/>
      <c r="Z257" s="54">
        <f>H96</f>
        <v>32515544</v>
      </c>
    </row>
    <row r="258" spans="17:26" customFormat="1" x14ac:dyDescent="0.25">
      <c r="Q258" s="46"/>
      <c r="R258" s="46"/>
      <c r="S258" s="179"/>
      <c r="T258" s="46"/>
      <c r="U258" s="44"/>
      <c r="V258" s="46"/>
      <c r="W258" s="46"/>
      <c r="X258" s="46"/>
      <c r="Y258" s="46"/>
      <c r="Z258" s="54"/>
    </row>
    <row r="259" spans="17:26" customFormat="1" x14ac:dyDescent="0.25">
      <c r="Q259" s="46"/>
      <c r="R259" s="46"/>
      <c r="S259" s="179" t="s">
        <v>181</v>
      </c>
      <c r="T259" s="46"/>
      <c r="U259" s="44"/>
      <c r="V259" s="46"/>
      <c r="W259" s="46"/>
      <c r="X259" s="46"/>
      <c r="Y259" s="46"/>
      <c r="Z259" s="54"/>
    </row>
    <row r="260" spans="17:26" customFormat="1" x14ac:dyDescent="0.25">
      <c r="Q260" s="46"/>
      <c r="R260" s="46"/>
      <c r="S260" s="179" t="s">
        <v>182</v>
      </c>
      <c r="T260" s="46"/>
      <c r="U260" s="44"/>
      <c r="V260" s="46"/>
      <c r="W260" s="46"/>
      <c r="X260" s="46"/>
      <c r="Y260" s="46"/>
      <c r="Z260" s="54"/>
    </row>
    <row r="261" spans="17:26" customFormat="1" x14ac:dyDescent="0.25">
      <c r="Q261" s="46"/>
      <c r="R261" s="46"/>
      <c r="S261" s="179"/>
      <c r="T261" s="46"/>
      <c r="U261" s="44"/>
      <c r="V261" s="46"/>
      <c r="W261" s="46"/>
      <c r="X261" s="46"/>
      <c r="Y261" s="46"/>
      <c r="Z261" s="54"/>
    </row>
    <row r="262" spans="17:26" customFormat="1" x14ac:dyDescent="0.25">
      <c r="Q262" s="46"/>
      <c r="R262" s="46"/>
      <c r="S262" s="179" t="s">
        <v>183</v>
      </c>
      <c r="T262" s="46"/>
      <c r="U262" s="44"/>
      <c r="V262" s="46"/>
      <c r="W262" s="46"/>
      <c r="X262" s="46"/>
      <c r="Y262" s="46"/>
      <c r="Z262" s="54"/>
    </row>
    <row r="263" spans="17:26" customFormat="1" x14ac:dyDescent="0.25">
      <c r="Q263" s="46"/>
      <c r="R263" s="46"/>
      <c r="S263" s="179" t="s">
        <v>184</v>
      </c>
      <c r="T263" s="46"/>
      <c r="U263" s="44"/>
      <c r="V263" s="46"/>
      <c r="W263" s="46"/>
      <c r="X263" s="46"/>
      <c r="Y263" s="46"/>
      <c r="Z263" s="54"/>
    </row>
    <row r="264" spans="17:26" customFormat="1" x14ac:dyDescent="0.25">
      <c r="Q264" s="46"/>
      <c r="R264" s="46"/>
      <c r="S264" s="179" t="s">
        <v>185</v>
      </c>
      <c r="T264" s="46"/>
      <c r="U264" s="44"/>
      <c r="V264" s="46"/>
      <c r="W264" s="46"/>
      <c r="X264" s="46"/>
      <c r="Y264" s="46"/>
      <c r="Z264" s="54"/>
    </row>
    <row r="265" spans="17:26" customFormat="1" x14ac:dyDescent="0.25">
      <c r="Q265" s="46"/>
      <c r="R265" s="46"/>
      <c r="S265" s="179" t="s">
        <v>186</v>
      </c>
      <c r="T265" s="46"/>
      <c r="U265" s="44"/>
      <c r="V265" s="46"/>
      <c r="W265" s="46"/>
      <c r="X265" s="46"/>
      <c r="Y265" s="46"/>
      <c r="Z265" s="54"/>
    </row>
    <row r="266" spans="17:26" customFormat="1" x14ac:dyDescent="0.25">
      <c r="Q266" s="46"/>
      <c r="R266" s="46"/>
      <c r="S266" s="179"/>
      <c r="T266" s="46"/>
      <c r="U266" s="44"/>
      <c r="V266" s="46"/>
      <c r="W266" s="46"/>
      <c r="X266" s="46"/>
      <c r="Y266" s="46"/>
      <c r="Z266" s="54"/>
    </row>
    <row r="267" spans="17:26" customFormat="1" x14ac:dyDescent="0.25">
      <c r="Q267" s="46"/>
      <c r="R267" s="46"/>
      <c r="S267" s="179" t="str">
        <f>IF(B95="NOT TO","You indicated that you do not intend to use Other State-Level Activities funds for","")</f>
        <v>You indicated that you do not intend to use Other State-Level Activities funds for</v>
      </c>
      <c r="T267" s="46"/>
      <c r="U267" s="44"/>
      <c r="V267" s="46"/>
      <c r="W267" s="46"/>
      <c r="X267" s="46"/>
      <c r="Y267" s="46"/>
      <c r="Z267" s="54"/>
    </row>
    <row r="268" spans="17:26" customFormat="1" x14ac:dyDescent="0.25">
      <c r="Q268" s="46"/>
      <c r="R268" s="46"/>
      <c r="S268" s="179" t="str">
        <f>IF(B95="NOT TO","a High Cost Fund.  If you decide that you want to use Other State-Level Activities ","")</f>
        <v xml:space="preserve">a High Cost Fund.  If you decide that you want to use Other State-Level Activities </v>
      </c>
      <c r="T268" s="46"/>
      <c r="U268" s="47"/>
      <c r="V268" s="46"/>
      <c r="W268" s="46"/>
      <c r="X268" s="46"/>
      <c r="Y268" s="46"/>
      <c r="Z268" s="54"/>
    </row>
    <row r="269" spans="17:26" customFormat="1" x14ac:dyDescent="0.25">
      <c r="Q269" s="46"/>
      <c r="R269" s="46"/>
      <c r="S269" s="179" t="str">
        <f>IF(B95="NOT TO","for a High Cost Fund, you must obtain approval from the Office of","")</f>
        <v>for a High Cost Fund, you must obtain approval from the Office of</v>
      </c>
      <c r="T269" s="46"/>
      <c r="U269" s="56" t="str">
        <f>IF(B95="TO",(H110/I98)*100,"")</f>
        <v/>
      </c>
      <c r="V269" s="46"/>
      <c r="W269" s="46"/>
      <c r="X269" s="46"/>
      <c r="Y269" s="46"/>
      <c r="Z269" s="54"/>
    </row>
    <row r="270" spans="17:26" customFormat="1" x14ac:dyDescent="0.25">
      <c r="Q270" s="46"/>
      <c r="R270" s="46"/>
      <c r="S270" s="179" t="str">
        <f>IF(B95="NOT TO","Special Education Programs.","")</f>
        <v>Special Education Programs.</v>
      </c>
      <c r="T270" s="46"/>
      <c r="U270" s="56"/>
      <c r="V270" s="46"/>
      <c r="W270" s="46"/>
      <c r="X270" s="46"/>
      <c r="Y270" s="46"/>
      <c r="Z270" s="54"/>
    </row>
    <row r="271" spans="17:26" customFormat="1" x14ac:dyDescent="0.25">
      <c r="Q271" s="46"/>
      <c r="R271" s="46"/>
      <c r="S271" s="179" t="str">
        <f>IF(B95="TO","For the High Cost Fund, you reported that you would use a total of…………………………………………………..…………..."," ")</f>
        <v xml:space="preserve"> </v>
      </c>
      <c r="T271" s="179"/>
      <c r="U271" s="56"/>
      <c r="V271" s="179"/>
      <c r="W271" s="179"/>
      <c r="X271" s="179"/>
      <c r="Y271" s="179"/>
      <c r="Z271" s="54" t="str">
        <f>IF(B95="TO",H201,"")</f>
        <v/>
      </c>
    </row>
    <row r="272" spans="17:26" customFormat="1" x14ac:dyDescent="0.25">
      <c r="Q272" s="46"/>
      <c r="R272" s="46"/>
      <c r="S272" s="189" t="str">
        <f>IF(B95="TO","This amount is","" )</f>
        <v/>
      </c>
      <c r="T272" s="189"/>
      <c r="U272" s="44"/>
      <c r="V272" s="189" t="str">
        <f>IF(B95="TO","percent of the total amount you proposed for Other","")</f>
        <v/>
      </c>
      <c r="W272" s="190"/>
      <c r="X272" s="190"/>
      <c r="Y272" s="190"/>
      <c r="Z272" s="46"/>
    </row>
    <row r="273" spans="17:26" customFormat="1" x14ac:dyDescent="0.25">
      <c r="Q273" s="46"/>
      <c r="R273" s="46"/>
      <c r="S273" s="179" t="str">
        <f>IF(B95="TO","State-Level Activities.","")</f>
        <v/>
      </c>
      <c r="T273" s="179"/>
      <c r="U273" s="44"/>
      <c r="V273" s="179"/>
      <c r="W273" s="171"/>
      <c r="X273" s="171"/>
      <c r="Y273" s="171"/>
      <c r="Z273" s="46"/>
    </row>
    <row r="274" spans="17:26" customFormat="1" x14ac:dyDescent="0.25">
      <c r="Q274" s="46"/>
      <c r="R274" s="46"/>
      <c r="S274" s="179"/>
      <c r="T274" s="179"/>
      <c r="U274" s="27"/>
      <c r="V274" s="179"/>
      <c r="W274" s="171"/>
      <c r="X274" s="171"/>
      <c r="Y274" s="171"/>
      <c r="Z274" s="46"/>
    </row>
    <row r="275" spans="17:26" customFormat="1" x14ac:dyDescent="0.25">
      <c r="Q275" s="46"/>
      <c r="R275" s="46"/>
      <c r="S275" s="179" t="str">
        <f>IF(B95="TO","You must ensure that at least 10 percent of the funds set aside for Other ","")</f>
        <v/>
      </c>
      <c r="T275" s="46"/>
      <c r="U275" s="27"/>
      <c r="V275" s="46"/>
      <c r="W275" s="46"/>
      <c r="X275" s="46"/>
      <c r="Y275" s="46"/>
      <c r="Z275" s="46"/>
    </row>
    <row r="276" spans="17:26" customFormat="1" x14ac:dyDescent="0.25">
      <c r="Q276" s="46"/>
      <c r="R276" s="46"/>
      <c r="S276" s="179" t="str">
        <f>IF(B95="TO","State-Level Activities are used for the High Cost Fund.  No more than 5 percent ","")</f>
        <v/>
      </c>
      <c r="T276" s="46"/>
      <c r="U276" s="27"/>
      <c r="V276" s="46"/>
      <c r="W276" s="46"/>
      <c r="X276" s="46"/>
      <c r="Y276" s="46"/>
      <c r="Z276" s="46"/>
    </row>
    <row r="277" spans="17:26" customFormat="1" x14ac:dyDescent="0.25">
      <c r="Q277" s="170"/>
      <c r="R277" s="170"/>
      <c r="S277" s="171" t="str">
        <f>IF(B95="TO","of the funds used for the High Cost Fund may be used to support innovative","")</f>
        <v/>
      </c>
      <c r="T277" s="170"/>
      <c r="U277" s="27"/>
      <c r="V277" s="170"/>
      <c r="W277" s="170"/>
      <c r="X277" s="170"/>
      <c r="Y277" s="170"/>
      <c r="Z277" s="170"/>
    </row>
    <row r="278" spans="17:26" customFormat="1" x14ac:dyDescent="0.25">
      <c r="Q278" s="170"/>
      <c r="R278" s="170"/>
      <c r="S278" s="171" t="str">
        <f>IF(B95="TO","and effective ways for cost sharing.","")</f>
        <v/>
      </c>
      <c r="T278" s="170"/>
      <c r="U278" s="27"/>
      <c r="V278" s="170"/>
      <c r="W278" s="170"/>
      <c r="X278" s="170"/>
      <c r="Y278" s="170"/>
      <c r="Z278" s="170"/>
    </row>
  </sheetData>
  <mergeCells count="65">
    <mergeCell ref="J11:P12"/>
    <mergeCell ref="A1:E1"/>
    <mergeCell ref="A3:F3"/>
    <mergeCell ref="A5:F5"/>
    <mergeCell ref="A9:F9"/>
    <mergeCell ref="A11:F11"/>
    <mergeCell ref="D47:F47"/>
    <mergeCell ref="H13:P13"/>
    <mergeCell ref="A14:F14"/>
    <mergeCell ref="A15:F15"/>
    <mergeCell ref="B17:F21"/>
    <mergeCell ref="B23:F24"/>
    <mergeCell ref="B27:F31"/>
    <mergeCell ref="B32:F32"/>
    <mergeCell ref="C34:F35"/>
    <mergeCell ref="C37:F39"/>
    <mergeCell ref="C41:F41"/>
    <mergeCell ref="C43:F45"/>
    <mergeCell ref="B94:F94"/>
    <mergeCell ref="B50:F58"/>
    <mergeCell ref="J62:P63"/>
    <mergeCell ref="J64:P65"/>
    <mergeCell ref="A70:F72"/>
    <mergeCell ref="A73:F74"/>
    <mergeCell ref="A76:F78"/>
    <mergeCell ref="A80:F82"/>
    <mergeCell ref="A83:F84"/>
    <mergeCell ref="A86:F88"/>
    <mergeCell ref="A91:F91"/>
    <mergeCell ref="B93:F93"/>
    <mergeCell ref="C127:F129"/>
    <mergeCell ref="B95:C95"/>
    <mergeCell ref="B96:F96"/>
    <mergeCell ref="A98:F98"/>
    <mergeCell ref="A105:F105"/>
    <mergeCell ref="A106:F106"/>
    <mergeCell ref="E111:G111"/>
    <mergeCell ref="B113:F113"/>
    <mergeCell ref="C115:F116"/>
    <mergeCell ref="C118:F120"/>
    <mergeCell ref="C121:F121"/>
    <mergeCell ref="C124:F125"/>
    <mergeCell ref="J176:P177"/>
    <mergeCell ref="C130:F130"/>
    <mergeCell ref="C131:F131"/>
    <mergeCell ref="C132:F132"/>
    <mergeCell ref="C133:F134"/>
    <mergeCell ref="C136:F137"/>
    <mergeCell ref="C139:F140"/>
    <mergeCell ref="C142:F144"/>
    <mergeCell ref="C146:F148"/>
    <mergeCell ref="C150:F153"/>
    <mergeCell ref="C155:F159"/>
    <mergeCell ref="C161:F172"/>
    <mergeCell ref="A183:C183"/>
    <mergeCell ref="C185:F187"/>
    <mergeCell ref="C189:F193"/>
    <mergeCell ref="C196:F199"/>
    <mergeCell ref="D201:F201"/>
    <mergeCell ref="V212:Z212"/>
    <mergeCell ref="S233:T233"/>
    <mergeCell ref="S272:T272"/>
    <mergeCell ref="V272:Y272"/>
    <mergeCell ref="J178:P179"/>
    <mergeCell ref="J201:P201"/>
  </mergeCells>
  <dataValidations count="2">
    <dataValidation type="list" allowBlank="1" showInputMessage="1" showErrorMessage="1" sqref="A1:E1" xr:uid="{C1E2D48A-DEA2-4285-BED3-B75AEA8225B7}">
      <formula1>$U$1:$U$54</formula1>
    </dataValidation>
    <dataValidation type="list" allowBlank="1" showInputMessage="1" showErrorMessage="1" error="You must select &quot;Yes&quot; or &quot;No&quot; from the pull down menue." sqref="H91" xr:uid="{C777A85D-0DE3-436D-A114-DB6353B2B05B}">
      <formula1>$J$92:$J$94</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1793E-63F7-4864-B137-803D0786455F}">
  <dimension ref="A1:H58"/>
  <sheetViews>
    <sheetView zoomScaleNormal="100" workbookViewId="0"/>
  </sheetViews>
  <sheetFormatPr defaultRowHeight="15" x14ac:dyDescent="0.25"/>
  <cols>
    <col min="1" max="1" width="69.7109375" bestFit="1" customWidth="1"/>
    <col min="2" max="2" width="26.42578125" customWidth="1"/>
    <col min="3" max="3" width="18.85546875" style="116" bestFit="1" customWidth="1"/>
    <col min="4" max="4" width="50.140625" style="116" customWidth="1"/>
    <col min="5" max="5" width="30.140625" style="116" customWidth="1"/>
    <col min="6" max="6" width="28.140625" bestFit="1" customWidth="1"/>
    <col min="7" max="7" width="25.28515625" customWidth="1"/>
    <col min="8" max="8" width="11.5703125" bestFit="1" customWidth="1"/>
  </cols>
  <sheetData>
    <row r="1" spans="1:6" s="61" customFormat="1" ht="60" x14ac:dyDescent="0.25">
      <c r="A1" s="57" t="s">
        <v>187</v>
      </c>
      <c r="B1" s="58" t="s">
        <v>188</v>
      </c>
      <c r="C1" s="59" t="s">
        <v>189</v>
      </c>
      <c r="D1" s="60" t="s">
        <v>190</v>
      </c>
      <c r="E1" s="175"/>
      <c r="F1" s="175"/>
    </row>
    <row r="2" spans="1:6" s="65" customFormat="1" x14ac:dyDescent="0.25">
      <c r="A2" s="62" t="s">
        <v>191</v>
      </c>
      <c r="B2" s="63">
        <f>'611 ffy2022-SFY23'!B25</f>
        <v>321458477</v>
      </c>
      <c r="C2" s="64"/>
      <c r="D2" s="62"/>
    </row>
    <row r="3" spans="1:6" s="65" customFormat="1" x14ac:dyDescent="0.25">
      <c r="A3" s="62"/>
      <c r="B3" s="66"/>
      <c r="C3" s="64"/>
      <c r="D3" s="62"/>
    </row>
    <row r="4" spans="1:6" s="65" customFormat="1" x14ac:dyDescent="0.25">
      <c r="A4" s="67"/>
      <c r="B4" s="68"/>
      <c r="C4" s="69"/>
      <c r="D4" s="70"/>
    </row>
    <row r="5" spans="1:6" s="65" customFormat="1" x14ac:dyDescent="0.25">
      <c r="A5" s="67"/>
      <c r="B5" s="68"/>
      <c r="C5" s="69"/>
      <c r="D5" s="70"/>
    </row>
    <row r="6" spans="1:6" s="65" customFormat="1" x14ac:dyDescent="0.25">
      <c r="A6" s="67"/>
      <c r="B6" s="68"/>
      <c r="C6" s="69"/>
      <c r="D6" s="70"/>
    </row>
    <row r="7" spans="1:6" s="65" customFormat="1" x14ac:dyDescent="0.25">
      <c r="A7" s="71"/>
      <c r="B7" s="72"/>
      <c r="C7" s="73"/>
      <c r="D7" s="74"/>
    </row>
    <row r="8" spans="1:6" s="65" customFormat="1" x14ac:dyDescent="0.25">
      <c r="A8" s="75"/>
      <c r="B8" s="76"/>
      <c r="C8" s="77"/>
      <c r="D8" s="78"/>
      <c r="F8" s="79"/>
    </row>
    <row r="9" spans="1:6" s="80" customFormat="1" x14ac:dyDescent="0.25">
      <c r="A9" s="80" t="s">
        <v>192</v>
      </c>
      <c r="B9" s="81">
        <f>C9</f>
        <v>7322036</v>
      </c>
      <c r="C9" s="82">
        <f>'[3]611 ffy2022-SFY23'!D25</f>
        <v>7322036</v>
      </c>
    </row>
    <row r="10" spans="1:6" s="80" customFormat="1" x14ac:dyDescent="0.25">
      <c r="A10" s="83" t="s">
        <v>193</v>
      </c>
      <c r="B10" s="88">
        <f>C10</f>
        <v>6365494.4699999997</v>
      </c>
      <c r="C10" s="85">
        <f>C9- B12-B13-B14-B15</f>
        <v>6365494.4699999997</v>
      </c>
      <c r="D10" s="86" t="s">
        <v>194</v>
      </c>
    </row>
    <row r="11" spans="1:6" s="80" customFormat="1" x14ac:dyDescent="0.25">
      <c r="A11" s="87" t="s">
        <v>195</v>
      </c>
      <c r="B11" s="88">
        <v>0</v>
      </c>
      <c r="C11" s="85">
        <v>0</v>
      </c>
      <c r="D11" s="86" t="s">
        <v>196</v>
      </c>
    </row>
    <row r="12" spans="1:6" s="80" customFormat="1" ht="45" x14ac:dyDescent="0.25">
      <c r="A12" s="165" t="s">
        <v>197</v>
      </c>
      <c r="B12" s="159">
        <f>C12</f>
        <v>196301.45</v>
      </c>
      <c r="C12" s="85">
        <f>126573.45+53022+16706</f>
        <v>196301.45</v>
      </c>
      <c r="D12" s="89" t="s">
        <v>273</v>
      </c>
    </row>
    <row r="13" spans="1:6" s="80" customFormat="1" ht="45" x14ac:dyDescent="0.25">
      <c r="A13" s="165" t="s">
        <v>198</v>
      </c>
      <c r="B13" s="159">
        <f>C13</f>
        <v>190576.38</v>
      </c>
      <c r="C13" s="85">
        <f>122882.52+51475+16218.86</f>
        <v>190576.38</v>
      </c>
      <c r="D13" s="86" t="s">
        <v>274</v>
      </c>
    </row>
    <row r="14" spans="1:6" s="80" customFormat="1" ht="30" x14ac:dyDescent="0.25">
      <c r="A14" s="165" t="s">
        <v>199</v>
      </c>
      <c r="B14" s="159">
        <f>C14</f>
        <v>375183.74</v>
      </c>
      <c r="C14" s="85">
        <f>(109849.22+5492.46+48317+15223.57)+(120546.17+6027.31+53022+16706.01)</f>
        <v>375183.74</v>
      </c>
      <c r="D14" s="86" t="s">
        <v>275</v>
      </c>
      <c r="E14" s="114"/>
    </row>
    <row r="15" spans="1:6" s="80" customFormat="1" ht="45" x14ac:dyDescent="0.25">
      <c r="A15" s="165" t="s">
        <v>200</v>
      </c>
      <c r="B15" s="159">
        <f>C15</f>
        <v>194479.96000000002</v>
      </c>
      <c r="C15" s="85">
        <f>125746.95+52675+16058.01</f>
        <v>194479.96000000002</v>
      </c>
      <c r="D15" s="89" t="s">
        <v>276</v>
      </c>
    </row>
    <row r="16" spans="1:6" s="80" customFormat="1" x14ac:dyDescent="0.25">
      <c r="A16" s="80" t="s">
        <v>201</v>
      </c>
      <c r="B16" s="92">
        <f>SUM(B12:B15)</f>
        <v>956541.53</v>
      </c>
      <c r="C16" s="90"/>
    </row>
    <row r="17" spans="1:8" s="80" customFormat="1" x14ac:dyDescent="0.25">
      <c r="A17" s="87" t="s">
        <v>202</v>
      </c>
      <c r="B17" s="84">
        <v>0</v>
      </c>
      <c r="C17" s="85"/>
      <c r="D17" s="86" t="s">
        <v>203</v>
      </c>
    </row>
    <row r="18" spans="1:8" s="80" customFormat="1" x14ac:dyDescent="0.25">
      <c r="A18" s="91" t="s">
        <v>204</v>
      </c>
      <c r="B18" s="92">
        <f>SUM(B17,B16,B10)</f>
        <v>7322036</v>
      </c>
      <c r="C18" s="90"/>
    </row>
    <row r="19" spans="1:8" s="80" customFormat="1" x14ac:dyDescent="0.25">
      <c r="A19" s="93"/>
      <c r="B19" s="94"/>
      <c r="C19" s="90"/>
      <c r="D19" s="93"/>
    </row>
    <row r="20" spans="1:8" s="80" customFormat="1" x14ac:dyDescent="0.25">
      <c r="A20" s="83" t="s">
        <v>205</v>
      </c>
      <c r="B20" s="95" t="s">
        <v>94</v>
      </c>
      <c r="C20" s="85"/>
      <c r="D20" s="86"/>
    </row>
    <row r="21" spans="1:8" s="80" customFormat="1" x14ac:dyDescent="0.25">
      <c r="A21" s="83" t="s">
        <v>206</v>
      </c>
      <c r="B21" s="95"/>
      <c r="C21" s="85"/>
      <c r="D21" s="86"/>
    </row>
    <row r="22" spans="1:8" s="80" customFormat="1" ht="30" x14ac:dyDescent="0.25">
      <c r="A22" s="83" t="s">
        <v>207</v>
      </c>
      <c r="B22" s="95">
        <f>B21</f>
        <v>0</v>
      </c>
      <c r="C22" s="85"/>
      <c r="D22" s="86" t="s">
        <v>208</v>
      </c>
    </row>
    <row r="23" spans="1:8" s="80" customFormat="1" x14ac:dyDescent="0.25">
      <c r="A23" s="96"/>
      <c r="B23" s="96"/>
      <c r="C23" s="90"/>
      <c r="D23" s="96"/>
    </row>
    <row r="24" spans="1:8" s="80" customFormat="1" x14ac:dyDescent="0.25">
      <c r="A24" s="166" t="s">
        <v>209</v>
      </c>
      <c r="B24" s="159">
        <f t="shared" ref="B24:B36" si="0">C24</f>
        <v>9066752</v>
      </c>
      <c r="C24" s="85">
        <f>5295426+4737740+2033586-3000000</f>
        <v>9066752</v>
      </c>
      <c r="D24" s="86" t="s">
        <v>210</v>
      </c>
    </row>
    <row r="25" spans="1:8" s="80" customFormat="1" x14ac:dyDescent="0.25">
      <c r="A25" s="166" t="s">
        <v>211</v>
      </c>
      <c r="B25" s="159">
        <f t="shared" si="0"/>
        <v>3439183</v>
      </c>
      <c r="C25" s="85">
        <v>3439183</v>
      </c>
      <c r="D25" s="86" t="s">
        <v>212</v>
      </c>
      <c r="F25" s="142"/>
    </row>
    <row r="26" spans="1:8" s="80" customFormat="1" ht="60" x14ac:dyDescent="0.25">
      <c r="A26" s="167" t="s">
        <v>213</v>
      </c>
      <c r="B26" s="168">
        <f t="shared" si="0"/>
        <v>3399140.37</v>
      </c>
      <c r="C26" s="85">
        <f>2074380.37+1324760</f>
        <v>3399140.37</v>
      </c>
      <c r="D26" s="86" t="s">
        <v>214</v>
      </c>
      <c r="E26" s="80" t="s">
        <v>277</v>
      </c>
      <c r="F26" s="80" t="s">
        <v>278</v>
      </c>
      <c r="H26" s="142"/>
    </row>
    <row r="27" spans="1:8" s="80" customFormat="1" x14ac:dyDescent="0.25">
      <c r="A27" s="167" t="s">
        <v>215</v>
      </c>
      <c r="B27" s="168">
        <f t="shared" si="0"/>
        <v>558150</v>
      </c>
      <c r="C27" s="85">
        <f>533150+25000</f>
        <v>558150</v>
      </c>
      <c r="D27" s="86" t="s">
        <v>216</v>
      </c>
    </row>
    <row r="28" spans="1:8" s="80" customFormat="1" ht="90" x14ac:dyDescent="0.25">
      <c r="A28" s="167" t="s">
        <v>217</v>
      </c>
      <c r="B28" s="168">
        <f t="shared" si="0"/>
        <v>967920</v>
      </c>
      <c r="C28" s="84">
        <f>441708+345412+120000+60800</f>
        <v>967920</v>
      </c>
      <c r="D28" s="163" t="s">
        <v>279</v>
      </c>
    </row>
    <row r="29" spans="1:8" s="80" customFormat="1" ht="45" x14ac:dyDescent="0.25">
      <c r="A29" s="167" t="s">
        <v>218</v>
      </c>
      <c r="B29" s="168">
        <f t="shared" si="0"/>
        <v>970000</v>
      </c>
      <c r="C29" s="85">
        <f>400000+400000+70000+100000</f>
        <v>970000</v>
      </c>
      <c r="D29" s="97" t="s">
        <v>271</v>
      </c>
      <c r="F29" s="114"/>
    </row>
    <row r="30" spans="1:8" s="80" customFormat="1" ht="30" x14ac:dyDescent="0.25">
      <c r="A30" s="167" t="s">
        <v>219</v>
      </c>
      <c r="B30" s="168">
        <f t="shared" si="0"/>
        <v>250000</v>
      </c>
      <c r="C30" s="85">
        <v>250000</v>
      </c>
      <c r="D30" s="86" t="s">
        <v>220</v>
      </c>
    </row>
    <row r="31" spans="1:8" s="80" customFormat="1" x14ac:dyDescent="0.25">
      <c r="A31" s="167" t="s">
        <v>221</v>
      </c>
      <c r="B31" s="168">
        <f t="shared" si="0"/>
        <v>0</v>
      </c>
      <c r="C31" s="85">
        <v>0</v>
      </c>
      <c r="D31" s="86"/>
    </row>
    <row r="32" spans="1:8" s="80" customFormat="1" ht="45" x14ac:dyDescent="0.25">
      <c r="A32" s="167" t="s">
        <v>222</v>
      </c>
      <c r="B32" s="168">
        <f t="shared" si="0"/>
        <v>855340</v>
      </c>
      <c r="C32" s="85">
        <f>750000+40000+60000+5340</f>
        <v>855340</v>
      </c>
      <c r="D32" s="86" t="s">
        <v>223</v>
      </c>
    </row>
    <row r="33" spans="1:6" s="80" customFormat="1" ht="90" x14ac:dyDescent="0.25">
      <c r="A33" s="167" t="s">
        <v>224</v>
      </c>
      <c r="B33" s="168">
        <f t="shared" si="0"/>
        <v>62024</v>
      </c>
      <c r="C33" s="85">
        <f>30000+2024+30000</f>
        <v>62024</v>
      </c>
      <c r="D33" s="86" t="s">
        <v>225</v>
      </c>
    </row>
    <row r="34" spans="1:6" s="80" customFormat="1" ht="45" x14ac:dyDescent="0.25">
      <c r="A34" s="167" t="s">
        <v>226</v>
      </c>
      <c r="B34" s="168">
        <f t="shared" si="0"/>
        <v>5686602.2867024168</v>
      </c>
      <c r="C34" s="85">
        <v>5686602.2867024168</v>
      </c>
      <c r="D34" s="86" t="s">
        <v>227</v>
      </c>
    </row>
    <row r="35" spans="1:6" s="80" customFormat="1" ht="30" x14ac:dyDescent="0.25">
      <c r="A35" s="167" t="s">
        <v>228</v>
      </c>
      <c r="B35" s="168">
        <f t="shared" si="0"/>
        <v>2624098</v>
      </c>
      <c r="C35" s="85">
        <v>2624098</v>
      </c>
      <c r="D35" s="86" t="s">
        <v>229</v>
      </c>
    </row>
    <row r="36" spans="1:6" s="80" customFormat="1" ht="240" x14ac:dyDescent="0.25">
      <c r="A36" s="167" t="s">
        <v>230</v>
      </c>
      <c r="B36" s="168">
        <f t="shared" si="0"/>
        <v>4636274.34</v>
      </c>
      <c r="C36" s="85">
        <f>996168+3000000+640106.34</f>
        <v>4636274.34</v>
      </c>
      <c r="D36" s="86" t="s">
        <v>231</v>
      </c>
      <c r="E36" s="164" t="s">
        <v>232</v>
      </c>
      <c r="F36" s="80" t="s">
        <v>280</v>
      </c>
    </row>
    <row r="37" spans="1:6" s="80" customFormat="1" ht="30" x14ac:dyDescent="0.25">
      <c r="A37" s="98"/>
      <c r="B37" s="99">
        <f>SUM(B24:B36)</f>
        <v>32515483.996702418</v>
      </c>
      <c r="C37" s="90"/>
      <c r="D37" s="80" t="s">
        <v>272</v>
      </c>
      <c r="E37" s="114"/>
    </row>
    <row r="38" spans="1:6" s="80" customFormat="1" x14ac:dyDescent="0.25">
      <c r="A38" s="100"/>
      <c r="B38" s="101"/>
      <c r="C38" s="102"/>
      <c r="D38" s="103"/>
    </row>
    <row r="39" spans="1:6" s="80" customFormat="1" x14ac:dyDescent="0.25">
      <c r="A39" s="104" t="s">
        <v>233</v>
      </c>
      <c r="B39" s="105">
        <v>0</v>
      </c>
      <c r="C39" s="106">
        <v>0</v>
      </c>
      <c r="D39" s="107" t="s">
        <v>94</v>
      </c>
    </row>
    <row r="40" spans="1:6" s="80" customFormat="1" ht="30" x14ac:dyDescent="0.25">
      <c r="A40" s="108" t="s">
        <v>234</v>
      </c>
      <c r="B40" s="109">
        <v>0</v>
      </c>
      <c r="C40" s="110">
        <v>0</v>
      </c>
      <c r="D40" s="111" t="s">
        <v>94</v>
      </c>
    </row>
    <row r="41" spans="1:6" s="80" customFormat="1" x14ac:dyDescent="0.25">
      <c r="B41" s="112"/>
      <c r="C41" s="90"/>
      <c r="F41" s="90"/>
    </row>
    <row r="42" spans="1:6" s="80" customFormat="1" x14ac:dyDescent="0.25">
      <c r="B42" s="112"/>
      <c r="C42" s="90"/>
      <c r="F42" s="90"/>
    </row>
    <row r="43" spans="1:6" s="80" customFormat="1" x14ac:dyDescent="0.25">
      <c r="B43" s="112">
        <f>C43</f>
        <v>32515483.996702418</v>
      </c>
      <c r="C43" s="113">
        <f>SUM(C24:C40)</f>
        <v>32515483.996702418</v>
      </c>
      <c r="D43" s="114">
        <f>B22</f>
        <v>0</v>
      </c>
    </row>
    <row r="44" spans="1:6" s="80" customFormat="1" x14ac:dyDescent="0.25">
      <c r="B44" s="112"/>
      <c r="C44" s="90"/>
      <c r="D44" s="115">
        <f>D43-C43</f>
        <v>-32515483.996702418</v>
      </c>
    </row>
    <row r="45" spans="1:6" s="80" customFormat="1" x14ac:dyDescent="0.25">
      <c r="B45" s="112"/>
      <c r="C45" s="90"/>
      <c r="D45" s="187">
        <f>'i sheet'!I98</f>
        <v>32515544</v>
      </c>
    </row>
    <row r="46" spans="1:6" ht="17.25" x14ac:dyDescent="0.4">
      <c r="A46" t="s">
        <v>235</v>
      </c>
      <c r="C46" s="117">
        <f>C43+D44</f>
        <v>0</v>
      </c>
      <c r="D46" s="116">
        <f>D45-D45</f>
        <v>0</v>
      </c>
    </row>
    <row r="49" spans="3:5" x14ac:dyDescent="0.25">
      <c r="D49" s="169"/>
    </row>
    <row r="53" spans="3:5" x14ac:dyDescent="0.25">
      <c r="C53" s="176"/>
      <c r="E53" s="142"/>
    </row>
    <row r="54" spans="3:5" x14ac:dyDescent="0.25">
      <c r="C54"/>
      <c r="D54" s="169"/>
      <c r="E54" s="136"/>
    </row>
    <row r="55" spans="3:5" x14ac:dyDescent="0.25">
      <c r="C55" s="80"/>
      <c r="D55" s="177"/>
      <c r="E55" s="136"/>
    </row>
    <row r="56" spans="3:5" ht="17.25" x14ac:dyDescent="0.4">
      <c r="C56" s="80"/>
      <c r="D56" s="117"/>
      <c r="E56" s="136"/>
    </row>
    <row r="57" spans="3:5" x14ac:dyDescent="0.25">
      <c r="C57" s="178"/>
      <c r="D57" s="136"/>
      <c r="E57" s="136"/>
    </row>
    <row r="58" spans="3:5" x14ac:dyDescent="0.25">
      <c r="C58" s="178"/>
      <c r="D58"/>
      <c r="E58"/>
    </row>
  </sheetData>
  <pageMargins left="0.25" right="0.25" top="0.75" bottom="0.75" header="0.3" footer="0.3"/>
  <pageSetup paperSize="5"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71938-3953-41B5-96BF-11589DDF5BF0}">
  <dimension ref="A1:P98"/>
  <sheetViews>
    <sheetView showGridLines="0" zoomScaleNormal="100" workbookViewId="0">
      <selection sqref="A1:J1"/>
    </sheetView>
  </sheetViews>
  <sheetFormatPr defaultRowHeight="15" x14ac:dyDescent="0.25"/>
  <cols>
    <col min="1" max="1" width="16.28515625" customWidth="1"/>
    <col min="2" max="2" width="16.42578125" customWidth="1"/>
    <col min="3" max="3" width="17.7109375" customWidth="1"/>
    <col min="4" max="4" width="19" customWidth="1"/>
    <col min="5" max="5" width="18.5703125" customWidth="1"/>
    <col min="6" max="6" width="14" customWidth="1"/>
    <col min="7" max="7" width="16.140625" customWidth="1"/>
    <col min="8" max="8" width="16.28515625" customWidth="1"/>
    <col min="9" max="9" width="20.7109375" customWidth="1"/>
    <col min="10" max="10" width="15.85546875" customWidth="1"/>
    <col min="11" max="11" width="28.42578125" customWidth="1"/>
    <col min="13" max="13" width="17.7109375" bestFit="1" customWidth="1"/>
    <col min="14" max="14" width="17.7109375" customWidth="1"/>
    <col min="15" max="15" width="18.5703125" bestFit="1" customWidth="1"/>
    <col min="16" max="16" width="16" bestFit="1" customWidth="1"/>
  </cols>
  <sheetData>
    <row r="1" spans="1:16" ht="52.5" customHeight="1" thickTop="1" x14ac:dyDescent="0.25">
      <c r="A1" s="208" t="s">
        <v>270</v>
      </c>
      <c r="B1" s="209"/>
      <c r="C1" s="209"/>
      <c r="D1" s="209"/>
      <c r="E1" s="209"/>
      <c r="F1" s="209"/>
      <c r="G1" s="209"/>
      <c r="H1" s="209"/>
      <c r="I1" s="209"/>
      <c r="J1" s="210"/>
    </row>
    <row r="2" spans="1:16" s="80" customFormat="1" ht="113.45" customHeight="1" x14ac:dyDescent="0.25">
      <c r="A2" s="183"/>
      <c r="B2" s="118" t="s">
        <v>236</v>
      </c>
      <c r="C2" s="118" t="s">
        <v>237</v>
      </c>
      <c r="D2" s="118" t="s">
        <v>238</v>
      </c>
      <c r="E2" s="119" t="s">
        <v>239</v>
      </c>
      <c r="F2" s="119" t="s">
        <v>240</v>
      </c>
      <c r="G2" s="119" t="s">
        <v>241</v>
      </c>
      <c r="H2" s="120" t="s">
        <v>242</v>
      </c>
      <c r="I2" s="118" t="s">
        <v>243</v>
      </c>
      <c r="J2" s="121" t="s">
        <v>244</v>
      </c>
      <c r="K2" s="184"/>
    </row>
    <row r="3" spans="1:16" x14ac:dyDescent="0.25">
      <c r="A3" s="123" t="s">
        <v>245</v>
      </c>
      <c r="B3" s="124" t="s">
        <v>246</v>
      </c>
      <c r="C3" s="124" t="s">
        <v>247</v>
      </c>
      <c r="D3" s="124" t="s">
        <v>248</v>
      </c>
      <c r="E3" s="125" t="s">
        <v>249</v>
      </c>
      <c r="F3" s="125" t="s">
        <v>250</v>
      </c>
      <c r="G3" s="125" t="s">
        <v>251</v>
      </c>
      <c r="H3" s="125" t="s">
        <v>252</v>
      </c>
      <c r="I3" s="124" t="s">
        <v>253</v>
      </c>
      <c r="J3" s="126" t="s">
        <v>254</v>
      </c>
      <c r="K3" s="122"/>
    </row>
    <row r="4" spans="1:16" hidden="1" x14ac:dyDescent="0.25">
      <c r="A4" s="127" t="s">
        <v>255</v>
      </c>
      <c r="B4" s="128">
        <v>13343704000</v>
      </c>
      <c r="C4" s="128">
        <v>3165587906</v>
      </c>
      <c r="D4" s="128">
        <v>276584098</v>
      </c>
      <c r="E4" s="128">
        <v>1451154253</v>
      </c>
      <c r="F4" s="128">
        <v>1298569747</v>
      </c>
      <c r="G4" s="128">
        <v>1523711963</v>
      </c>
      <c r="H4" s="128">
        <v>1378596542</v>
      </c>
      <c r="I4" s="129">
        <v>4060321000</v>
      </c>
      <c r="J4" s="130">
        <v>9283383000</v>
      </c>
      <c r="K4" s="122"/>
      <c r="L4" s="122"/>
      <c r="O4" s="27"/>
    </row>
    <row r="5" spans="1:16" hidden="1" x14ac:dyDescent="0.25">
      <c r="A5" s="131" t="s">
        <v>4</v>
      </c>
      <c r="B5" s="132">
        <v>205363901</v>
      </c>
      <c r="C5" s="132">
        <v>51763442</v>
      </c>
      <c r="D5" s="132">
        <v>4498627</v>
      </c>
      <c r="E5" s="132">
        <v>23277197</v>
      </c>
      <c r="F5" s="132">
        <v>20829670</v>
      </c>
      <c r="G5" s="132">
        <v>24441057</v>
      </c>
      <c r="H5" s="132">
        <v>22113337</v>
      </c>
      <c r="I5" s="133">
        <v>61193057</v>
      </c>
      <c r="J5" s="134">
        <v>144170844</v>
      </c>
      <c r="K5" s="122"/>
      <c r="M5" s="135"/>
      <c r="N5" s="135"/>
      <c r="O5" s="136"/>
      <c r="P5" s="137"/>
    </row>
    <row r="6" spans="1:16" hidden="1" x14ac:dyDescent="0.25">
      <c r="A6" s="138" t="s">
        <v>6</v>
      </c>
      <c r="B6" s="139">
        <v>42433454</v>
      </c>
      <c r="C6" s="139">
        <v>9185518</v>
      </c>
      <c r="D6" s="139">
        <v>1196120</v>
      </c>
      <c r="E6" s="139">
        <v>4506123</v>
      </c>
      <c r="F6" s="139">
        <v>4032318</v>
      </c>
      <c r="G6" s="139">
        <v>4731429</v>
      </c>
      <c r="H6" s="139">
        <v>4280817</v>
      </c>
      <c r="I6" s="140">
        <v>12644057</v>
      </c>
      <c r="J6" s="141">
        <v>29789397</v>
      </c>
      <c r="K6" s="122"/>
      <c r="M6" s="135"/>
      <c r="N6" s="135"/>
      <c r="O6" s="142"/>
      <c r="P6" s="137"/>
    </row>
    <row r="7" spans="1:16" hidden="1" x14ac:dyDescent="0.25">
      <c r="A7" s="131" t="s">
        <v>7</v>
      </c>
      <c r="B7" s="132">
        <v>236823175</v>
      </c>
      <c r="C7" s="132">
        <v>45947295</v>
      </c>
      <c r="D7" s="132">
        <v>3653350</v>
      </c>
      <c r="E7" s="132">
        <v>22540282</v>
      </c>
      <c r="F7" s="132">
        <v>20170239</v>
      </c>
      <c r="G7" s="132">
        <v>23667296</v>
      </c>
      <c r="H7" s="132">
        <v>21413268</v>
      </c>
      <c r="I7" s="133">
        <v>70567096</v>
      </c>
      <c r="J7" s="134">
        <v>166256079</v>
      </c>
      <c r="K7" s="122"/>
      <c r="M7" s="135"/>
      <c r="N7" s="135"/>
    </row>
    <row r="8" spans="1:16" hidden="1" x14ac:dyDescent="0.25">
      <c r="A8" s="138" t="s">
        <v>9</v>
      </c>
      <c r="B8" s="139">
        <v>128802168</v>
      </c>
      <c r="C8" s="139">
        <v>30654695</v>
      </c>
      <c r="D8" s="139">
        <v>2553317</v>
      </c>
      <c r="E8" s="139">
        <v>14357853</v>
      </c>
      <c r="F8" s="139">
        <v>12848168</v>
      </c>
      <c r="G8" s="139">
        <v>15075745</v>
      </c>
      <c r="H8" s="139">
        <v>13639960</v>
      </c>
      <c r="I8" s="140">
        <v>38379669</v>
      </c>
      <c r="J8" s="141">
        <v>90422499</v>
      </c>
      <c r="K8" s="122"/>
      <c r="M8" s="135"/>
      <c r="N8" s="135"/>
    </row>
    <row r="9" spans="1:16" hidden="1" x14ac:dyDescent="0.25">
      <c r="A9" s="131" t="s">
        <v>10</v>
      </c>
      <c r="B9" s="132">
        <v>1376833029</v>
      </c>
      <c r="C9" s="132">
        <v>323428031</v>
      </c>
      <c r="D9" s="132">
        <v>26889396</v>
      </c>
      <c r="E9" s="132">
        <v>157038752</v>
      </c>
      <c r="F9" s="132">
        <v>140526599</v>
      </c>
      <c r="G9" s="132">
        <v>164890690</v>
      </c>
      <c r="H9" s="132">
        <v>149186815</v>
      </c>
      <c r="I9" s="133">
        <v>410260141</v>
      </c>
      <c r="J9" s="134">
        <v>966572888</v>
      </c>
      <c r="K9" s="122"/>
      <c r="L9" s="143"/>
      <c r="M9" s="144"/>
      <c r="N9" s="145"/>
      <c r="P9" s="142"/>
    </row>
    <row r="10" spans="1:16" hidden="1" x14ac:dyDescent="0.25">
      <c r="A10" s="138" t="s">
        <v>12</v>
      </c>
      <c r="B10" s="139">
        <v>185743767</v>
      </c>
      <c r="C10" s="139">
        <v>38914504</v>
      </c>
      <c r="D10" s="139">
        <v>3290204</v>
      </c>
      <c r="E10" s="139">
        <v>19090219</v>
      </c>
      <c r="F10" s="139">
        <v>17082939</v>
      </c>
      <c r="G10" s="139">
        <v>20044730</v>
      </c>
      <c r="H10" s="139">
        <v>18135708</v>
      </c>
      <c r="I10" s="140">
        <v>55346772</v>
      </c>
      <c r="J10" s="141">
        <v>130396995</v>
      </c>
      <c r="K10" s="122"/>
      <c r="L10" s="27"/>
      <c r="M10" s="27"/>
      <c r="N10" s="27"/>
      <c r="P10" s="142"/>
    </row>
    <row r="11" spans="1:16" hidden="1" x14ac:dyDescent="0.25">
      <c r="A11" s="131" t="s">
        <v>14</v>
      </c>
      <c r="B11" s="132">
        <v>150483198</v>
      </c>
      <c r="C11" s="132">
        <v>39795094</v>
      </c>
      <c r="D11" s="132">
        <v>3520608</v>
      </c>
      <c r="E11" s="132">
        <v>17019255</v>
      </c>
      <c r="F11" s="132">
        <v>15229731</v>
      </c>
      <c r="G11" s="132">
        <v>17870218</v>
      </c>
      <c r="H11" s="132">
        <v>16168292</v>
      </c>
      <c r="I11" s="133">
        <v>44840047</v>
      </c>
      <c r="J11" s="134">
        <v>105643151</v>
      </c>
      <c r="K11" s="122"/>
    </row>
    <row r="12" spans="1:16" hidden="1" x14ac:dyDescent="0.25">
      <c r="A12" s="138" t="s">
        <v>17</v>
      </c>
      <c r="B12" s="139">
        <v>41355415</v>
      </c>
      <c r="C12" s="139">
        <v>8418502</v>
      </c>
      <c r="D12" s="139">
        <v>1196120</v>
      </c>
      <c r="E12" s="139">
        <v>4129849</v>
      </c>
      <c r="F12" s="139">
        <v>3695608</v>
      </c>
      <c r="G12" s="139">
        <v>4336342</v>
      </c>
      <c r="H12" s="139">
        <v>3923357</v>
      </c>
      <c r="I12" s="140">
        <v>12322829</v>
      </c>
      <c r="J12" s="141">
        <v>29032586</v>
      </c>
      <c r="K12" s="122"/>
    </row>
    <row r="13" spans="1:16" hidden="1" x14ac:dyDescent="0.25">
      <c r="A13" s="131" t="s">
        <v>20</v>
      </c>
      <c r="B13" s="132">
        <v>744781000</v>
      </c>
      <c r="C13" s="132">
        <v>179007131</v>
      </c>
      <c r="D13" s="132">
        <v>14863424</v>
      </c>
      <c r="E13" s="132">
        <v>80600378</v>
      </c>
      <c r="F13" s="132">
        <v>72125490</v>
      </c>
      <c r="G13" s="132">
        <v>84630396</v>
      </c>
      <c r="H13" s="132">
        <v>76570359</v>
      </c>
      <c r="I13" s="133">
        <v>221925209</v>
      </c>
      <c r="J13" s="134">
        <v>522855791</v>
      </c>
      <c r="K13" s="122"/>
    </row>
    <row r="14" spans="1:16" hidden="1" x14ac:dyDescent="0.25">
      <c r="A14" s="138" t="s">
        <v>21</v>
      </c>
      <c r="B14" s="139">
        <v>399980951</v>
      </c>
      <c r="C14" s="139">
        <v>80774679</v>
      </c>
      <c r="D14" s="139">
        <v>6497898</v>
      </c>
      <c r="E14" s="139">
        <v>39625490</v>
      </c>
      <c r="F14" s="139">
        <v>35458989</v>
      </c>
      <c r="G14" s="139">
        <v>41606764</v>
      </c>
      <c r="H14" s="139">
        <v>37644215</v>
      </c>
      <c r="I14" s="140">
        <v>119183836</v>
      </c>
      <c r="J14" s="141">
        <v>280797115</v>
      </c>
      <c r="K14" s="122"/>
    </row>
    <row r="15" spans="1:16" hidden="1" x14ac:dyDescent="0.25">
      <c r="A15" s="131" t="s">
        <v>22</v>
      </c>
      <c r="B15" s="132">
        <v>45725633</v>
      </c>
      <c r="C15" s="132">
        <v>10617384</v>
      </c>
      <c r="D15" s="132">
        <v>1196120</v>
      </c>
      <c r="E15" s="132">
        <v>5110106</v>
      </c>
      <c r="F15" s="132">
        <v>4572794</v>
      </c>
      <c r="G15" s="132">
        <v>5365612</v>
      </c>
      <c r="H15" s="132">
        <v>4854601</v>
      </c>
      <c r="I15" s="133">
        <v>13625040</v>
      </c>
      <c r="J15" s="134">
        <v>32100593</v>
      </c>
      <c r="K15" s="122"/>
      <c r="M15" s="142"/>
    </row>
    <row r="16" spans="1:16" hidden="1" x14ac:dyDescent="0.25">
      <c r="A16" s="138" t="s">
        <v>24</v>
      </c>
      <c r="B16" s="139">
        <v>65862888</v>
      </c>
      <c r="C16" s="139">
        <v>14289101</v>
      </c>
      <c r="D16" s="139">
        <v>1196120</v>
      </c>
      <c r="E16" s="139">
        <v>6947901</v>
      </c>
      <c r="F16" s="139">
        <v>6217351</v>
      </c>
      <c r="G16" s="139">
        <v>7295297</v>
      </c>
      <c r="H16" s="139">
        <v>6600506</v>
      </c>
      <c r="I16" s="140">
        <v>19625414</v>
      </c>
      <c r="J16" s="141">
        <v>46237474</v>
      </c>
      <c r="K16" s="122"/>
      <c r="M16" s="142"/>
    </row>
    <row r="17" spans="1:11" hidden="1" x14ac:dyDescent="0.25">
      <c r="A17" s="131" t="s">
        <v>26</v>
      </c>
      <c r="B17" s="132">
        <v>570895141</v>
      </c>
      <c r="C17" s="132">
        <v>145798830</v>
      </c>
      <c r="D17" s="132">
        <v>12178930</v>
      </c>
      <c r="E17" s="132">
        <v>64825245</v>
      </c>
      <c r="F17" s="132">
        <v>58009065</v>
      </c>
      <c r="G17" s="132">
        <v>68066507</v>
      </c>
      <c r="H17" s="132">
        <v>61583983</v>
      </c>
      <c r="I17" s="133">
        <v>170111783</v>
      </c>
      <c r="J17" s="134">
        <v>400783358</v>
      </c>
      <c r="K17" s="122"/>
    </row>
    <row r="18" spans="1:11" hidden="1" x14ac:dyDescent="0.25">
      <c r="A18" s="138" t="s">
        <v>27</v>
      </c>
      <c r="B18" s="139">
        <v>299168395</v>
      </c>
      <c r="C18" s="139">
        <v>76006114</v>
      </c>
      <c r="D18" s="139">
        <v>6367316</v>
      </c>
      <c r="E18" s="139">
        <v>32734104</v>
      </c>
      <c r="F18" s="139">
        <v>29292212</v>
      </c>
      <c r="G18" s="139">
        <v>34370809</v>
      </c>
      <c r="H18" s="139">
        <v>31097399</v>
      </c>
      <c r="I18" s="140">
        <v>89144337</v>
      </c>
      <c r="J18" s="141">
        <v>210024058</v>
      </c>
      <c r="K18" s="122"/>
    </row>
    <row r="19" spans="1:11" hidden="1" x14ac:dyDescent="0.25">
      <c r="A19" s="131" t="s">
        <v>29</v>
      </c>
      <c r="B19" s="132">
        <v>138299843</v>
      </c>
      <c r="C19" s="132">
        <v>36799117</v>
      </c>
      <c r="D19" s="132">
        <v>3132182</v>
      </c>
      <c r="E19" s="132">
        <v>15627173</v>
      </c>
      <c r="F19" s="132">
        <v>13984023</v>
      </c>
      <c r="G19" s="132">
        <v>16408532</v>
      </c>
      <c r="H19" s="132">
        <v>14845815</v>
      </c>
      <c r="I19" s="133">
        <v>41209727</v>
      </c>
      <c r="J19" s="134">
        <v>97090116</v>
      </c>
      <c r="K19" s="122"/>
    </row>
    <row r="20" spans="1:11" hidden="1" x14ac:dyDescent="0.25">
      <c r="A20" s="138" t="s">
        <v>30</v>
      </c>
      <c r="B20" s="139">
        <v>123140183</v>
      </c>
      <c r="C20" s="139">
        <v>30299450</v>
      </c>
      <c r="D20" s="139">
        <v>2548668</v>
      </c>
      <c r="E20" s="139">
        <v>13678708</v>
      </c>
      <c r="F20" s="139">
        <v>12240433</v>
      </c>
      <c r="G20" s="139">
        <v>14362643</v>
      </c>
      <c r="H20" s="139">
        <v>12994772</v>
      </c>
      <c r="I20" s="140">
        <v>36692546</v>
      </c>
      <c r="J20" s="141">
        <v>86447637</v>
      </c>
      <c r="K20" s="122"/>
    </row>
    <row r="21" spans="1:11" hidden="1" x14ac:dyDescent="0.25">
      <c r="A21" s="131" t="s">
        <v>31</v>
      </c>
      <c r="B21" s="132">
        <v>182530187</v>
      </c>
      <c r="C21" s="132">
        <v>45623168</v>
      </c>
      <c r="D21" s="132">
        <v>3915482</v>
      </c>
      <c r="E21" s="132">
        <v>20204405</v>
      </c>
      <c r="F21" s="132">
        <v>18079972</v>
      </c>
      <c r="G21" s="132">
        <v>21214625</v>
      </c>
      <c r="H21" s="132">
        <v>19194184</v>
      </c>
      <c r="I21" s="133">
        <v>54389210</v>
      </c>
      <c r="J21" s="134">
        <v>128140977</v>
      </c>
      <c r="K21" s="122"/>
    </row>
    <row r="22" spans="1:11" hidden="1" x14ac:dyDescent="0.25">
      <c r="A22" s="138" t="s">
        <v>32</v>
      </c>
      <c r="B22" s="139">
        <v>213536588</v>
      </c>
      <c r="C22" s="139">
        <v>49394457</v>
      </c>
      <c r="D22" s="139">
        <v>4271585</v>
      </c>
      <c r="E22" s="139">
        <v>24231350</v>
      </c>
      <c r="F22" s="139">
        <v>21683497</v>
      </c>
      <c r="G22" s="139">
        <v>25442918</v>
      </c>
      <c r="H22" s="139">
        <v>23019783</v>
      </c>
      <c r="I22" s="140">
        <v>63628304</v>
      </c>
      <c r="J22" s="141">
        <v>149908284</v>
      </c>
      <c r="K22" s="122"/>
    </row>
    <row r="23" spans="1:11" hidden="1" x14ac:dyDescent="0.25">
      <c r="A23" s="131" t="s">
        <v>34</v>
      </c>
      <c r="B23" s="132">
        <v>61939291</v>
      </c>
      <c r="C23" s="132">
        <v>16493688</v>
      </c>
      <c r="D23" s="132">
        <v>1499280</v>
      </c>
      <c r="E23" s="132">
        <v>7004237</v>
      </c>
      <c r="F23" s="132">
        <v>6267762</v>
      </c>
      <c r="G23" s="132">
        <v>7354449</v>
      </c>
      <c r="H23" s="132">
        <v>6654025</v>
      </c>
      <c r="I23" s="133">
        <v>18456285</v>
      </c>
      <c r="J23" s="134">
        <v>43483006</v>
      </c>
      <c r="K23" s="122"/>
    </row>
    <row r="24" spans="1:11" hidden="1" x14ac:dyDescent="0.25">
      <c r="A24" s="138" t="s">
        <v>35</v>
      </c>
      <c r="B24" s="139">
        <v>230642032</v>
      </c>
      <c r="C24" s="139">
        <v>57921866</v>
      </c>
      <c r="D24" s="139">
        <v>4817572</v>
      </c>
      <c r="E24" s="139">
        <v>25629304</v>
      </c>
      <c r="F24" s="139">
        <v>22934460</v>
      </c>
      <c r="G24" s="139">
        <v>26910770</v>
      </c>
      <c r="H24" s="139">
        <v>24347839</v>
      </c>
      <c r="I24" s="140">
        <v>68725278</v>
      </c>
      <c r="J24" s="141">
        <v>161916754</v>
      </c>
      <c r="K24" s="122"/>
    </row>
    <row r="25" spans="1:11" ht="15.75" thickBot="1" x14ac:dyDescent="0.3">
      <c r="A25" s="131" t="s">
        <v>0</v>
      </c>
      <c r="B25" s="146">
        <v>321458477</v>
      </c>
      <c r="C25" s="132">
        <v>85565027</v>
      </c>
      <c r="D25" s="132">
        <v>7322036</v>
      </c>
      <c r="E25" s="132">
        <v>36336185</v>
      </c>
      <c r="F25" s="132">
        <v>32515544</v>
      </c>
      <c r="G25" s="132">
        <v>38152994</v>
      </c>
      <c r="H25" s="146">
        <v>34519376</v>
      </c>
      <c r="I25" s="133">
        <v>95786197</v>
      </c>
      <c r="J25" s="134">
        <v>225672280</v>
      </c>
      <c r="K25" s="122"/>
    </row>
    <row r="26" spans="1:11" ht="15.75" hidden="1" thickBot="1" x14ac:dyDescent="0.3">
      <c r="A26" s="138" t="s">
        <v>38</v>
      </c>
      <c r="B26" s="139">
        <v>448732737</v>
      </c>
      <c r="C26" s="139">
        <v>107923610</v>
      </c>
      <c r="D26" s="139">
        <v>8911839</v>
      </c>
      <c r="E26" s="139">
        <v>51274510</v>
      </c>
      <c r="F26" s="139">
        <v>45883149</v>
      </c>
      <c r="G26" s="139">
        <v>53838235</v>
      </c>
      <c r="H26" s="139">
        <v>48710784</v>
      </c>
      <c r="I26" s="140">
        <v>133710589</v>
      </c>
      <c r="J26" s="141">
        <v>315022148</v>
      </c>
      <c r="K26" s="122"/>
    </row>
    <row r="27" spans="1:11" ht="15.75" hidden="1" thickBot="1" x14ac:dyDescent="0.3">
      <c r="A27" s="131" t="s">
        <v>39</v>
      </c>
      <c r="B27" s="132">
        <v>219225415</v>
      </c>
      <c r="C27" s="132">
        <v>55057097</v>
      </c>
      <c r="D27" s="132">
        <v>4660746</v>
      </c>
      <c r="E27" s="132">
        <v>24297861</v>
      </c>
      <c r="F27" s="132">
        <v>21743014</v>
      </c>
      <c r="G27" s="132">
        <v>25512754</v>
      </c>
      <c r="H27" s="132">
        <v>23082968</v>
      </c>
      <c r="I27" s="133">
        <v>65323425</v>
      </c>
      <c r="J27" s="134">
        <v>153901990</v>
      </c>
      <c r="K27" s="122"/>
    </row>
    <row r="28" spans="1:11" ht="15.75" hidden="1" thickBot="1" x14ac:dyDescent="0.3">
      <c r="A28" s="138" t="s">
        <v>40</v>
      </c>
      <c r="B28" s="139">
        <v>134593667</v>
      </c>
      <c r="C28" s="139">
        <v>32007733</v>
      </c>
      <c r="D28" s="139">
        <v>3013673</v>
      </c>
      <c r="E28" s="139">
        <v>15232945</v>
      </c>
      <c r="F28" s="139">
        <v>13631247</v>
      </c>
      <c r="G28" s="139">
        <v>15994592</v>
      </c>
      <c r="H28" s="139">
        <v>14471298</v>
      </c>
      <c r="I28" s="140">
        <v>40105384</v>
      </c>
      <c r="J28" s="141">
        <v>94488283</v>
      </c>
      <c r="K28" s="122"/>
    </row>
    <row r="29" spans="1:11" ht="15.75" hidden="1" thickBot="1" x14ac:dyDescent="0.3">
      <c r="A29" s="131" t="s">
        <v>42</v>
      </c>
      <c r="B29" s="132">
        <v>257238445</v>
      </c>
      <c r="C29" s="132">
        <v>68230162</v>
      </c>
      <c r="D29" s="132">
        <v>5784770</v>
      </c>
      <c r="E29" s="132">
        <v>29076567</v>
      </c>
      <c r="F29" s="132">
        <v>26019254</v>
      </c>
      <c r="G29" s="132">
        <v>30530396</v>
      </c>
      <c r="H29" s="132">
        <v>27622739</v>
      </c>
      <c r="I29" s="133">
        <v>76650312</v>
      </c>
      <c r="J29" s="134">
        <v>180588133</v>
      </c>
      <c r="K29" s="122"/>
    </row>
    <row r="30" spans="1:11" ht="15.75" hidden="1" thickBot="1" x14ac:dyDescent="0.3">
      <c r="A30" s="138" t="s">
        <v>43</v>
      </c>
      <c r="B30" s="139">
        <v>43199227</v>
      </c>
      <c r="C30" s="139">
        <v>9748203</v>
      </c>
      <c r="D30" s="139">
        <v>1196120</v>
      </c>
      <c r="E30" s="139">
        <v>4704335</v>
      </c>
      <c r="F30" s="139">
        <v>4209689</v>
      </c>
      <c r="G30" s="139">
        <v>4939552</v>
      </c>
      <c r="H30" s="139">
        <v>4469119</v>
      </c>
      <c r="I30" s="140">
        <v>12872237</v>
      </c>
      <c r="J30" s="141">
        <v>30326990</v>
      </c>
      <c r="K30" s="122"/>
    </row>
    <row r="31" spans="1:11" ht="15.75" hidden="1" thickBot="1" x14ac:dyDescent="0.3">
      <c r="A31" s="131" t="s">
        <v>44</v>
      </c>
      <c r="B31" s="132">
        <v>84647683</v>
      </c>
      <c r="C31" s="132">
        <v>22507423</v>
      </c>
      <c r="D31" s="132">
        <v>1836183</v>
      </c>
      <c r="E31" s="132">
        <v>9558039</v>
      </c>
      <c r="F31" s="132">
        <v>8553040</v>
      </c>
      <c r="G31" s="132">
        <v>10035941</v>
      </c>
      <c r="H31" s="132">
        <v>9080137</v>
      </c>
      <c r="I31" s="133">
        <v>25222790</v>
      </c>
      <c r="J31" s="134">
        <v>59424893</v>
      </c>
      <c r="K31" s="122"/>
    </row>
    <row r="32" spans="1:11" ht="15.75" hidden="1" thickBot="1" x14ac:dyDescent="0.3">
      <c r="A32" s="138" t="s">
        <v>45</v>
      </c>
      <c r="B32" s="139">
        <v>90057084</v>
      </c>
      <c r="C32" s="139">
        <v>17279374</v>
      </c>
      <c r="D32" s="139">
        <v>1380028</v>
      </c>
      <c r="E32" s="139">
        <v>8476712</v>
      </c>
      <c r="F32" s="139">
        <v>7585411</v>
      </c>
      <c r="G32" s="139">
        <v>8900547</v>
      </c>
      <c r="H32" s="139">
        <v>8052876</v>
      </c>
      <c r="I32" s="140">
        <v>26834650</v>
      </c>
      <c r="J32" s="141">
        <v>63222434</v>
      </c>
      <c r="K32" s="122"/>
    </row>
    <row r="33" spans="1:11" ht="15.75" hidden="1" thickBot="1" x14ac:dyDescent="0.3">
      <c r="A33" s="131" t="s">
        <v>46</v>
      </c>
      <c r="B33" s="132">
        <v>53725669</v>
      </c>
      <c r="C33" s="132">
        <v>14262653</v>
      </c>
      <c r="D33" s="132">
        <v>1216480</v>
      </c>
      <c r="E33" s="132">
        <v>6074652</v>
      </c>
      <c r="F33" s="132">
        <v>5435920</v>
      </c>
      <c r="G33" s="132">
        <v>6378384</v>
      </c>
      <c r="H33" s="132">
        <v>5770919</v>
      </c>
      <c r="I33" s="133">
        <v>16008841</v>
      </c>
      <c r="J33" s="134">
        <v>37716828</v>
      </c>
      <c r="K33" s="122"/>
    </row>
    <row r="34" spans="1:11" ht="15.75" hidden="1" thickBot="1" x14ac:dyDescent="0.3">
      <c r="A34" s="138" t="s">
        <v>47</v>
      </c>
      <c r="B34" s="139">
        <v>409321022</v>
      </c>
      <c r="C34" s="139">
        <v>108952520</v>
      </c>
      <c r="D34" s="139">
        <v>9319098</v>
      </c>
      <c r="E34" s="139">
        <v>46267957</v>
      </c>
      <c r="F34" s="139">
        <v>41403020</v>
      </c>
      <c r="G34" s="139">
        <v>48581354</v>
      </c>
      <c r="H34" s="139">
        <v>43954559</v>
      </c>
      <c r="I34" s="140">
        <v>121966932</v>
      </c>
      <c r="J34" s="141">
        <v>287354090</v>
      </c>
      <c r="K34" s="122"/>
    </row>
    <row r="35" spans="1:11" ht="15.75" hidden="1" thickBot="1" x14ac:dyDescent="0.3">
      <c r="A35" s="131" t="s">
        <v>48</v>
      </c>
      <c r="B35" s="132">
        <v>103068305</v>
      </c>
      <c r="C35" s="132">
        <v>27026021</v>
      </c>
      <c r="D35" s="132">
        <v>2261860</v>
      </c>
      <c r="E35" s="132">
        <v>11666130</v>
      </c>
      <c r="F35" s="132">
        <v>10439471</v>
      </c>
      <c r="G35" s="132">
        <v>12249436</v>
      </c>
      <c r="H35" s="132">
        <v>11082823</v>
      </c>
      <c r="I35" s="133">
        <v>30711652</v>
      </c>
      <c r="J35" s="134">
        <v>72356653</v>
      </c>
      <c r="K35" s="122"/>
    </row>
    <row r="36" spans="1:11" ht="15.75" hidden="1" thickBot="1" x14ac:dyDescent="0.3">
      <c r="A36" s="138" t="s">
        <v>50</v>
      </c>
      <c r="B36" s="139">
        <v>857863238</v>
      </c>
      <c r="C36" s="139">
        <v>224098730</v>
      </c>
      <c r="D36" s="139">
        <v>19004979</v>
      </c>
      <c r="E36" s="139">
        <v>97170504</v>
      </c>
      <c r="F36" s="139">
        <v>86953318</v>
      </c>
      <c r="G36" s="139">
        <v>102029029</v>
      </c>
      <c r="H36" s="139">
        <v>92311979</v>
      </c>
      <c r="I36" s="140">
        <v>255620751</v>
      </c>
      <c r="J36" s="141">
        <v>602242487</v>
      </c>
      <c r="K36" s="122"/>
    </row>
    <row r="37" spans="1:11" ht="15.75" hidden="1" thickBot="1" x14ac:dyDescent="0.3">
      <c r="A37" s="131" t="s">
        <v>52</v>
      </c>
      <c r="B37" s="132">
        <v>392724284</v>
      </c>
      <c r="C37" s="132">
        <v>85734091</v>
      </c>
      <c r="D37" s="132">
        <v>7073951</v>
      </c>
      <c r="E37" s="132">
        <v>40050615</v>
      </c>
      <c r="F37" s="132">
        <v>35839413</v>
      </c>
      <c r="G37" s="132">
        <v>42053146</v>
      </c>
      <c r="H37" s="132">
        <v>38048084</v>
      </c>
      <c r="I37" s="133">
        <v>117021539</v>
      </c>
      <c r="J37" s="134">
        <v>275702745</v>
      </c>
      <c r="K37" s="122"/>
    </row>
    <row r="38" spans="1:11" ht="15.75" hidden="1" thickBot="1" x14ac:dyDescent="0.3">
      <c r="A38" s="138" t="s">
        <v>53</v>
      </c>
      <c r="B38" s="139">
        <v>35570035</v>
      </c>
      <c r="C38" s="139">
        <v>6835722</v>
      </c>
      <c r="D38" s="139">
        <v>1196120</v>
      </c>
      <c r="E38" s="139">
        <v>3353388</v>
      </c>
      <c r="F38" s="139">
        <v>3000789</v>
      </c>
      <c r="G38" s="139">
        <v>3521057</v>
      </c>
      <c r="H38" s="139">
        <v>3185719</v>
      </c>
      <c r="I38" s="140">
        <v>10598938</v>
      </c>
      <c r="J38" s="141">
        <v>24971097</v>
      </c>
      <c r="K38" s="122"/>
    </row>
    <row r="39" spans="1:11" ht="15.75" hidden="1" thickBot="1" x14ac:dyDescent="0.3">
      <c r="A39" s="131" t="s">
        <v>55</v>
      </c>
      <c r="B39" s="132">
        <v>493497272</v>
      </c>
      <c r="C39" s="132">
        <v>119359351</v>
      </c>
      <c r="D39" s="132">
        <v>10403937</v>
      </c>
      <c r="E39" s="132">
        <v>56026616</v>
      </c>
      <c r="F39" s="132">
        <v>50135586</v>
      </c>
      <c r="G39" s="132">
        <v>58827947</v>
      </c>
      <c r="H39" s="132">
        <v>53225285</v>
      </c>
      <c r="I39" s="133">
        <v>147049247</v>
      </c>
      <c r="J39" s="134">
        <v>346448025</v>
      </c>
      <c r="K39" s="122"/>
    </row>
    <row r="40" spans="1:11" ht="15.75" hidden="1" thickBot="1" x14ac:dyDescent="0.3">
      <c r="A40" s="138" t="s">
        <v>56</v>
      </c>
      <c r="B40" s="139">
        <v>171831887</v>
      </c>
      <c r="C40" s="139">
        <v>41638213</v>
      </c>
      <c r="D40" s="139">
        <v>3397117</v>
      </c>
      <c r="E40" s="139">
        <v>18933172</v>
      </c>
      <c r="F40" s="139">
        <v>16942406</v>
      </c>
      <c r="G40" s="139">
        <v>19879830</v>
      </c>
      <c r="H40" s="139">
        <v>17986513</v>
      </c>
      <c r="I40" s="140">
        <v>51201397</v>
      </c>
      <c r="J40" s="141">
        <v>120630490</v>
      </c>
      <c r="K40" s="122"/>
    </row>
    <row r="41" spans="1:11" ht="15.75" hidden="1" thickBot="1" x14ac:dyDescent="0.3">
      <c r="A41" s="131" t="s">
        <v>58</v>
      </c>
      <c r="B41" s="132">
        <v>148491349</v>
      </c>
      <c r="C41" s="132">
        <v>36242655</v>
      </c>
      <c r="D41" s="132">
        <v>2935113</v>
      </c>
      <c r="E41" s="132">
        <v>16508307</v>
      </c>
      <c r="F41" s="132">
        <v>14772509</v>
      </c>
      <c r="G41" s="132">
        <v>17333723</v>
      </c>
      <c r="H41" s="132">
        <v>15682892</v>
      </c>
      <c r="I41" s="132">
        <v>44246528</v>
      </c>
      <c r="J41" s="134">
        <v>104244821</v>
      </c>
      <c r="K41" s="122"/>
    </row>
    <row r="42" spans="1:11" ht="15.75" hidden="1" thickBot="1" x14ac:dyDescent="0.3">
      <c r="A42" s="138" t="s">
        <v>59</v>
      </c>
      <c r="B42" s="139">
        <v>482113285</v>
      </c>
      <c r="C42" s="139">
        <v>117400583</v>
      </c>
      <c r="D42" s="139">
        <v>9920060</v>
      </c>
      <c r="E42" s="139">
        <v>54675301</v>
      </c>
      <c r="F42" s="139">
        <v>48926357</v>
      </c>
      <c r="G42" s="139">
        <v>57409066</v>
      </c>
      <c r="H42" s="139">
        <v>51941536</v>
      </c>
      <c r="I42" s="139">
        <v>143657118</v>
      </c>
      <c r="J42" s="141">
        <v>338456167</v>
      </c>
      <c r="K42" s="122"/>
    </row>
    <row r="43" spans="1:11" ht="15.75" hidden="1" thickBot="1" x14ac:dyDescent="0.3">
      <c r="A43" s="131" t="s">
        <v>62</v>
      </c>
      <c r="B43" s="132">
        <v>49513817</v>
      </c>
      <c r="C43" s="132">
        <v>13181363</v>
      </c>
      <c r="D43" s="132">
        <v>1196120</v>
      </c>
      <c r="E43" s="132">
        <v>5597619</v>
      </c>
      <c r="F43" s="132">
        <v>5009047</v>
      </c>
      <c r="G43" s="132">
        <v>5877500</v>
      </c>
      <c r="H43" s="132">
        <v>5317738</v>
      </c>
      <c r="I43" s="132">
        <v>14753819</v>
      </c>
      <c r="J43" s="134">
        <v>34759998</v>
      </c>
      <c r="K43" s="122"/>
    </row>
    <row r="44" spans="1:11" ht="15.75" hidden="1" thickBot="1" x14ac:dyDescent="0.3">
      <c r="A44" s="138" t="s">
        <v>63</v>
      </c>
      <c r="B44" s="139">
        <v>204524498</v>
      </c>
      <c r="C44" s="139">
        <v>51358930</v>
      </c>
      <c r="D44" s="139">
        <v>4178990</v>
      </c>
      <c r="E44" s="139">
        <v>22420478</v>
      </c>
      <c r="F44" s="139">
        <v>20063032</v>
      </c>
      <c r="G44" s="139">
        <v>23541501</v>
      </c>
      <c r="H44" s="139">
        <v>21299454</v>
      </c>
      <c r="I44" s="139">
        <v>60942938</v>
      </c>
      <c r="J44" s="141">
        <v>143581560</v>
      </c>
      <c r="K44" s="122"/>
    </row>
    <row r="45" spans="1:11" ht="15.75" hidden="1" thickBot="1" x14ac:dyDescent="0.3">
      <c r="A45" s="131" t="s">
        <v>65</v>
      </c>
      <c r="B45" s="132">
        <v>40923932</v>
      </c>
      <c r="C45" s="132">
        <v>8143124</v>
      </c>
      <c r="D45" s="132">
        <v>1196120</v>
      </c>
      <c r="E45" s="132">
        <v>3994757</v>
      </c>
      <c r="F45" s="132">
        <v>3574721</v>
      </c>
      <c r="G45" s="132">
        <v>4194495</v>
      </c>
      <c r="H45" s="132">
        <v>3795020</v>
      </c>
      <c r="I45" s="132">
        <v>12194259</v>
      </c>
      <c r="J45" s="134">
        <v>28729673</v>
      </c>
      <c r="K45" s="122"/>
    </row>
    <row r="46" spans="1:11" ht="15.75" hidden="1" thickBot="1" x14ac:dyDescent="0.3">
      <c r="A46" s="138" t="s">
        <v>66</v>
      </c>
      <c r="B46" s="139">
        <v>274069055</v>
      </c>
      <c r="C46" s="139">
        <v>66522917</v>
      </c>
      <c r="D46" s="139">
        <v>5772247</v>
      </c>
      <c r="E46" s="139">
        <v>29851769</v>
      </c>
      <c r="F46" s="139">
        <v>26712945</v>
      </c>
      <c r="G46" s="139">
        <v>31344358</v>
      </c>
      <c r="H46" s="139">
        <v>28359181</v>
      </c>
      <c r="I46" s="139">
        <v>81665392</v>
      </c>
      <c r="J46" s="141">
        <v>192403663</v>
      </c>
      <c r="K46" s="122"/>
    </row>
    <row r="47" spans="1:11" ht="15.75" hidden="1" thickBot="1" x14ac:dyDescent="0.3">
      <c r="A47" s="131" t="s">
        <v>68</v>
      </c>
      <c r="B47" s="132">
        <v>1148648094</v>
      </c>
      <c r="C47" s="132">
        <v>252423854</v>
      </c>
      <c r="D47" s="132">
        <v>21252548</v>
      </c>
      <c r="E47" s="132">
        <v>123342203</v>
      </c>
      <c r="F47" s="132">
        <v>110373141</v>
      </c>
      <c r="G47" s="132">
        <v>129509313</v>
      </c>
      <c r="H47" s="132">
        <v>117175093</v>
      </c>
      <c r="I47" s="133">
        <v>342267013</v>
      </c>
      <c r="J47" s="134">
        <v>806381081</v>
      </c>
      <c r="K47" s="122"/>
    </row>
    <row r="48" spans="1:11" ht="15.75" hidden="1" thickBot="1" x14ac:dyDescent="0.3">
      <c r="A48" s="138" t="s">
        <v>69</v>
      </c>
      <c r="B48" s="139">
        <v>134026539</v>
      </c>
      <c r="C48" s="139">
        <v>28382690</v>
      </c>
      <c r="D48" s="139">
        <v>2480661</v>
      </c>
      <c r="E48" s="139">
        <v>13653327</v>
      </c>
      <c r="F48" s="139">
        <v>12217721</v>
      </c>
      <c r="G48" s="139">
        <v>14335993</v>
      </c>
      <c r="H48" s="139">
        <v>12970661</v>
      </c>
      <c r="I48" s="140">
        <v>39936394</v>
      </c>
      <c r="J48" s="141">
        <v>94090145</v>
      </c>
      <c r="K48" s="122"/>
    </row>
    <row r="49" spans="1:11" ht="15.75" hidden="1" thickBot="1" x14ac:dyDescent="0.3">
      <c r="A49" s="131" t="s">
        <v>71</v>
      </c>
      <c r="B49" s="132">
        <v>34278414</v>
      </c>
      <c r="C49" s="132">
        <v>6590941</v>
      </c>
      <c r="D49" s="132">
        <v>1196120</v>
      </c>
      <c r="E49" s="132">
        <v>3233306</v>
      </c>
      <c r="F49" s="132">
        <v>2893334</v>
      </c>
      <c r="G49" s="132">
        <v>3394972</v>
      </c>
      <c r="H49" s="132">
        <v>3071641</v>
      </c>
      <c r="I49" s="133">
        <v>10214069</v>
      </c>
      <c r="J49" s="134">
        <v>24064345</v>
      </c>
      <c r="K49" s="122"/>
    </row>
    <row r="50" spans="1:11" ht="15.75" hidden="1" thickBot="1" x14ac:dyDescent="0.3">
      <c r="A50" s="138" t="s">
        <v>72</v>
      </c>
      <c r="B50" s="139">
        <v>327747822</v>
      </c>
      <c r="C50" s="139">
        <v>79717764</v>
      </c>
      <c r="D50" s="139">
        <v>6657624</v>
      </c>
      <c r="E50" s="139">
        <v>36052972</v>
      </c>
      <c r="F50" s="139">
        <v>32262110</v>
      </c>
      <c r="G50" s="139">
        <v>37855620</v>
      </c>
      <c r="H50" s="139">
        <v>34250323</v>
      </c>
      <c r="I50" s="140">
        <v>97660257</v>
      </c>
      <c r="J50" s="141">
        <v>230087565</v>
      </c>
      <c r="K50" s="122"/>
    </row>
    <row r="51" spans="1:11" ht="15.75" hidden="1" thickBot="1" x14ac:dyDescent="0.3">
      <c r="A51" s="131" t="s">
        <v>73</v>
      </c>
      <c r="B51" s="132">
        <v>255327572</v>
      </c>
      <c r="C51" s="132">
        <v>59195558</v>
      </c>
      <c r="D51" s="132">
        <v>4927477</v>
      </c>
      <c r="E51" s="132">
        <v>28331935</v>
      </c>
      <c r="F51" s="132">
        <v>25352917</v>
      </c>
      <c r="G51" s="132">
        <v>29748532</v>
      </c>
      <c r="H51" s="132">
        <v>26915338</v>
      </c>
      <c r="I51" s="133">
        <v>76080922</v>
      </c>
      <c r="J51" s="134">
        <v>179246650</v>
      </c>
      <c r="K51" s="122"/>
    </row>
    <row r="52" spans="1:11" ht="15.75" hidden="1" thickBot="1" x14ac:dyDescent="0.3">
      <c r="A52" s="138" t="s">
        <v>75</v>
      </c>
      <c r="B52" s="139">
        <v>85993211</v>
      </c>
      <c r="C52" s="139">
        <v>22891709</v>
      </c>
      <c r="D52" s="139">
        <v>2088274</v>
      </c>
      <c r="E52" s="139">
        <v>9721231</v>
      </c>
      <c r="F52" s="139">
        <v>8699072</v>
      </c>
      <c r="G52" s="139">
        <v>10207292</v>
      </c>
      <c r="H52" s="139">
        <v>9235169</v>
      </c>
      <c r="I52" s="140">
        <v>25623722</v>
      </c>
      <c r="J52" s="141">
        <v>60369489</v>
      </c>
      <c r="K52" s="122"/>
    </row>
    <row r="53" spans="1:11" ht="15.75" hidden="1" thickBot="1" x14ac:dyDescent="0.3">
      <c r="A53" s="131" t="s">
        <v>76</v>
      </c>
      <c r="B53" s="132">
        <v>234878637</v>
      </c>
      <c r="C53" s="132">
        <v>60304853</v>
      </c>
      <c r="D53" s="132">
        <v>5083245</v>
      </c>
      <c r="E53" s="132">
        <v>26647902</v>
      </c>
      <c r="F53" s="132">
        <v>23845955</v>
      </c>
      <c r="G53" s="132">
        <v>27980297</v>
      </c>
      <c r="H53" s="132">
        <v>25315507</v>
      </c>
      <c r="I53" s="133">
        <v>69987675</v>
      </c>
      <c r="J53" s="134">
        <v>164890962</v>
      </c>
      <c r="K53" s="122"/>
    </row>
    <row r="54" spans="1:11" ht="15.75" hidden="1" thickBot="1" x14ac:dyDescent="0.3">
      <c r="A54" s="138" t="s">
        <v>77</v>
      </c>
      <c r="B54" s="139">
        <v>35956920</v>
      </c>
      <c r="C54" s="139">
        <v>6914550</v>
      </c>
      <c r="D54" s="139">
        <v>1196120</v>
      </c>
      <c r="E54" s="139">
        <v>3392059</v>
      </c>
      <c r="F54" s="139">
        <v>3035394</v>
      </c>
      <c r="G54" s="139">
        <v>3561661</v>
      </c>
      <c r="H54" s="139">
        <v>3222456</v>
      </c>
      <c r="I54" s="140">
        <v>10714219</v>
      </c>
      <c r="J54" s="141">
        <v>25242701</v>
      </c>
      <c r="K54" s="122"/>
    </row>
    <row r="55" spans="1:11" ht="15.75" hidden="1" thickBot="1" x14ac:dyDescent="0.3">
      <c r="A55" s="131" t="s">
        <v>18</v>
      </c>
      <c r="B55" s="132">
        <v>22045155</v>
      </c>
      <c r="C55" s="132">
        <v>4232848</v>
      </c>
      <c r="D55" s="132">
        <v>1196120</v>
      </c>
      <c r="E55" s="132">
        <v>2076500</v>
      </c>
      <c r="F55" s="132">
        <v>1858163</v>
      </c>
      <c r="G55" s="132">
        <v>2180325</v>
      </c>
      <c r="H55" s="132">
        <v>1972675</v>
      </c>
      <c r="I55" s="133">
        <v>6568878</v>
      </c>
      <c r="J55" s="134">
        <v>15476277</v>
      </c>
      <c r="K55" s="122"/>
    </row>
    <row r="56" spans="1:11" ht="15.75" hidden="1" thickBot="1" x14ac:dyDescent="0.3">
      <c r="A56" s="138" t="s">
        <v>78</v>
      </c>
      <c r="B56" s="139">
        <v>138986097</v>
      </c>
      <c r="C56" s="139">
        <v>28086566</v>
      </c>
      <c r="D56" s="139">
        <v>2120780</v>
      </c>
      <c r="E56" s="139">
        <v>13778376</v>
      </c>
      <c r="F56" s="139">
        <v>12329621</v>
      </c>
      <c r="G56" s="139">
        <v>14467295</v>
      </c>
      <c r="H56" s="139">
        <v>13089457</v>
      </c>
      <c r="I56" s="140">
        <v>41414213</v>
      </c>
      <c r="J56" s="141">
        <v>97571884</v>
      </c>
      <c r="K56" s="122"/>
    </row>
    <row r="57" spans="1:11" ht="15.75" hidden="1" thickBot="1" x14ac:dyDescent="0.3">
      <c r="A57" s="131" t="s">
        <v>256</v>
      </c>
      <c r="B57" s="132">
        <v>100005611</v>
      </c>
      <c r="C57" s="133" t="s">
        <v>2</v>
      </c>
      <c r="D57" s="132">
        <v>4000224</v>
      </c>
      <c r="E57" s="133"/>
      <c r="F57" s="133"/>
      <c r="G57" s="133"/>
      <c r="H57" s="133"/>
      <c r="I57" s="133">
        <v>100005611</v>
      </c>
      <c r="J57" s="134">
        <v>0</v>
      </c>
      <c r="K57" s="122"/>
    </row>
    <row r="58" spans="1:11" ht="15.75" hidden="1" thickBot="1" x14ac:dyDescent="0.3">
      <c r="A58" s="147" t="s">
        <v>2</v>
      </c>
      <c r="B58" s="148"/>
      <c r="C58" s="148" t="s">
        <v>2</v>
      </c>
      <c r="D58" s="148"/>
      <c r="E58" s="149"/>
      <c r="F58" s="149"/>
      <c r="G58" s="149"/>
      <c r="H58" s="149"/>
      <c r="I58" s="150" t="s">
        <v>2</v>
      </c>
      <c r="J58" s="151" t="s">
        <v>2</v>
      </c>
      <c r="K58" s="122"/>
    </row>
    <row r="59" spans="1:11" ht="15.75" hidden="1" thickBot="1" x14ac:dyDescent="0.3">
      <c r="A59" s="138" t="s">
        <v>82</v>
      </c>
      <c r="B59" s="139">
        <v>7035807</v>
      </c>
      <c r="C59" s="139" t="s">
        <v>2</v>
      </c>
      <c r="D59" s="139">
        <v>351790</v>
      </c>
      <c r="E59" s="139"/>
      <c r="F59" s="139"/>
      <c r="G59" s="139"/>
      <c r="H59" s="139"/>
      <c r="I59" s="140">
        <v>2096486</v>
      </c>
      <c r="J59" s="141">
        <v>4939321</v>
      </c>
      <c r="K59" s="122"/>
    </row>
    <row r="60" spans="1:11" ht="15.75" hidden="1" thickBot="1" x14ac:dyDescent="0.3">
      <c r="A60" s="131" t="s">
        <v>80</v>
      </c>
      <c r="B60" s="132">
        <v>17234421</v>
      </c>
      <c r="C60" s="133" t="s">
        <v>2</v>
      </c>
      <c r="D60" s="132">
        <v>861721</v>
      </c>
      <c r="E60" s="133"/>
      <c r="F60" s="133"/>
      <c r="G60" s="133"/>
      <c r="H60" s="133"/>
      <c r="I60" s="133">
        <v>5135406</v>
      </c>
      <c r="J60" s="134">
        <v>12099015</v>
      </c>
      <c r="K60" s="122"/>
    </row>
    <row r="61" spans="1:11" ht="15.75" hidden="1" thickBot="1" x14ac:dyDescent="0.3">
      <c r="A61" s="138" t="s">
        <v>257</v>
      </c>
      <c r="B61" s="139">
        <v>5342083</v>
      </c>
      <c r="C61" s="139" t="s">
        <v>2</v>
      </c>
      <c r="D61" s="139">
        <v>267104</v>
      </c>
      <c r="E61" s="139"/>
      <c r="F61" s="139"/>
      <c r="G61" s="139"/>
      <c r="H61" s="139"/>
      <c r="I61" s="140">
        <v>1591801</v>
      </c>
      <c r="J61" s="141">
        <v>3750282</v>
      </c>
      <c r="K61" s="122"/>
    </row>
    <row r="62" spans="1:11" ht="15.75" hidden="1" thickBot="1" x14ac:dyDescent="0.3">
      <c r="A62" s="131" t="s">
        <v>79</v>
      </c>
      <c r="B62" s="132">
        <v>8887689</v>
      </c>
      <c r="C62" s="132">
        <v>6639005</v>
      </c>
      <c r="D62" s="132">
        <v>444384</v>
      </c>
      <c r="E62" s="139">
        <v>1198092</v>
      </c>
      <c r="F62" s="139">
        <v>1072117</v>
      </c>
      <c r="G62" s="139">
        <v>1257997</v>
      </c>
      <c r="H62" s="139">
        <v>1138188</v>
      </c>
      <c r="I62" s="133">
        <v>2648298</v>
      </c>
      <c r="J62" s="134">
        <v>6239391</v>
      </c>
      <c r="K62" s="122"/>
    </row>
    <row r="63" spans="1:11" ht="15.75" hidden="1" thickBot="1" x14ac:dyDescent="0.3">
      <c r="A63" s="138" t="s">
        <v>258</v>
      </c>
      <c r="B63" s="139">
        <v>6579306</v>
      </c>
      <c r="C63" s="139" t="s">
        <v>2</v>
      </c>
      <c r="D63" s="139"/>
      <c r="E63" s="139"/>
      <c r="F63" s="139"/>
      <c r="G63" s="139"/>
      <c r="H63" s="139"/>
      <c r="I63" s="140">
        <v>1960464</v>
      </c>
      <c r="J63" s="141">
        <v>4618842</v>
      </c>
      <c r="K63" s="122"/>
    </row>
    <row r="64" spans="1:11" ht="15.75" hidden="1" thickBot="1" x14ac:dyDescent="0.3">
      <c r="A64" s="147"/>
      <c r="B64" s="148"/>
      <c r="C64" s="148"/>
      <c r="D64" s="148"/>
      <c r="E64" s="149"/>
      <c r="F64" s="149"/>
      <c r="G64" s="149"/>
      <c r="H64" s="149"/>
      <c r="I64" s="150"/>
      <c r="J64" s="151"/>
      <c r="K64" s="122"/>
    </row>
    <row r="65" spans="1:11" ht="15.75" hidden="1" thickBot="1" x14ac:dyDescent="0.3">
      <c r="A65" s="138" t="s">
        <v>259</v>
      </c>
      <c r="B65" s="139">
        <v>20000000</v>
      </c>
      <c r="C65" s="139" t="s">
        <v>2</v>
      </c>
      <c r="D65" s="139" t="s">
        <v>2</v>
      </c>
      <c r="E65" s="139" t="s">
        <v>2</v>
      </c>
      <c r="F65" s="139"/>
      <c r="G65" s="139"/>
      <c r="H65" s="139"/>
      <c r="I65" s="140">
        <v>20000000</v>
      </c>
      <c r="J65" s="141">
        <v>0</v>
      </c>
      <c r="K65" s="122"/>
    </row>
    <row r="66" spans="1:11" ht="15.75" hidden="1" thickBot="1" x14ac:dyDescent="0.3">
      <c r="A66" s="152" t="s">
        <v>260</v>
      </c>
      <c r="B66" s="132">
        <v>0</v>
      </c>
      <c r="C66" s="132"/>
      <c r="D66" s="132"/>
      <c r="E66" s="132"/>
      <c r="F66" s="132"/>
      <c r="G66" s="132"/>
      <c r="H66" s="132"/>
      <c r="I66" s="153"/>
      <c r="J66" s="154">
        <v>0</v>
      </c>
      <c r="K66" s="122"/>
    </row>
    <row r="67" spans="1:11" ht="21" customHeight="1" thickTop="1" x14ac:dyDescent="0.25">
      <c r="A67" s="211" t="s">
        <v>261</v>
      </c>
      <c r="B67" s="212"/>
      <c r="C67" s="212"/>
      <c r="D67" s="212"/>
      <c r="E67" s="212"/>
      <c r="F67" s="212"/>
      <c r="G67" s="212"/>
      <c r="H67" s="212"/>
      <c r="I67" s="212"/>
      <c r="J67" s="213"/>
    </row>
    <row r="68" spans="1:11" ht="15.75" thickBot="1" x14ac:dyDescent="0.3">
      <c r="A68" s="214"/>
      <c r="B68" s="215"/>
      <c r="C68" s="215"/>
      <c r="D68" s="215"/>
      <c r="E68" s="215"/>
      <c r="F68" s="215"/>
      <c r="G68" s="215"/>
      <c r="H68" s="215"/>
      <c r="I68" s="215"/>
      <c r="J68" s="216"/>
    </row>
    <row r="69" spans="1:11" ht="15.75" thickTop="1" x14ac:dyDescent="0.25">
      <c r="A69" s="185"/>
      <c r="B69" s="185"/>
      <c r="C69" s="185"/>
      <c r="D69" s="185"/>
      <c r="E69" s="185"/>
      <c r="F69" s="185"/>
      <c r="G69" s="185"/>
      <c r="H69" s="185"/>
      <c r="I69" s="185"/>
      <c r="J69" s="185"/>
    </row>
    <row r="70" spans="1:11" x14ac:dyDescent="0.25">
      <c r="A70" s="155"/>
      <c r="B70" s="155"/>
      <c r="C70" s="155"/>
      <c r="D70" s="155"/>
      <c r="E70" s="155"/>
      <c r="F70" s="155"/>
      <c r="G70" s="155"/>
      <c r="H70" s="155"/>
      <c r="I70" s="155"/>
      <c r="J70" s="155"/>
    </row>
    <row r="71" spans="1:11" x14ac:dyDescent="0.25">
      <c r="A71" s="155"/>
      <c r="B71" s="155"/>
      <c r="C71" s="155"/>
      <c r="D71" s="155"/>
      <c r="E71" s="155"/>
      <c r="F71" s="155"/>
      <c r="G71" s="155"/>
      <c r="H71" s="155"/>
      <c r="I71" s="155"/>
      <c r="J71" s="155"/>
    </row>
    <row r="72" spans="1:11" ht="23.25" x14ac:dyDescent="0.35">
      <c r="A72" s="156"/>
      <c r="B72" s="155"/>
      <c r="C72" s="155"/>
      <c r="D72" s="155"/>
      <c r="E72" s="155"/>
      <c r="F72" s="155"/>
      <c r="G72" s="155"/>
      <c r="H72" s="155"/>
      <c r="I72" s="155"/>
      <c r="J72" s="155"/>
    </row>
    <row r="73" spans="1:11" x14ac:dyDescent="0.25">
      <c r="A73" s="155"/>
      <c r="B73" s="157"/>
      <c r="C73" s="157"/>
      <c r="D73" s="157"/>
      <c r="E73" s="157"/>
      <c r="F73" s="157"/>
      <c r="G73" s="157"/>
      <c r="H73" s="157"/>
      <c r="I73" s="155"/>
      <c r="J73" s="155"/>
    </row>
    <row r="74" spans="1:11" x14ac:dyDescent="0.25">
      <c r="A74" s="157"/>
      <c r="B74" s="157"/>
      <c r="C74" s="157"/>
      <c r="D74" s="157"/>
      <c r="E74" s="157"/>
      <c r="F74" s="157"/>
      <c r="G74" s="157"/>
      <c r="H74" s="157"/>
      <c r="I74" s="157"/>
      <c r="J74" s="155"/>
    </row>
    <row r="75" spans="1:11" x14ac:dyDescent="0.25">
      <c r="A75" s="155"/>
      <c r="B75" s="157"/>
      <c r="C75" s="157"/>
      <c r="D75" s="157"/>
      <c r="E75" s="157"/>
      <c r="F75" s="157"/>
      <c r="G75" s="157"/>
      <c r="H75" s="157"/>
      <c r="I75" s="155"/>
      <c r="J75" s="155"/>
    </row>
    <row r="76" spans="1:11" x14ac:dyDescent="0.25">
      <c r="A76" s="157"/>
      <c r="B76" s="157"/>
      <c r="C76" s="157"/>
      <c r="D76" s="157"/>
      <c r="E76" s="157"/>
      <c r="F76" s="157"/>
      <c r="G76" s="157"/>
      <c r="H76" s="157"/>
      <c r="I76" s="157"/>
      <c r="J76" s="157"/>
    </row>
    <row r="77" spans="1:11" ht="23.25" x14ac:dyDescent="0.35">
      <c r="A77" s="157"/>
      <c r="B77" s="156"/>
      <c r="C77" s="157"/>
      <c r="D77" s="157"/>
      <c r="E77" s="157"/>
      <c r="F77" s="156"/>
      <c r="G77" s="157"/>
      <c r="H77" s="157"/>
      <c r="I77" s="157"/>
      <c r="J77" s="157"/>
    </row>
    <row r="78" spans="1:11" x14ac:dyDescent="0.25">
      <c r="A78" s="157"/>
      <c r="B78" s="157"/>
      <c r="C78" s="157"/>
      <c r="D78" s="157"/>
      <c r="E78" s="157"/>
      <c r="F78" s="157"/>
      <c r="G78" s="157"/>
      <c r="H78" s="157"/>
      <c r="I78" s="157"/>
      <c r="J78" s="157"/>
    </row>
    <row r="79" spans="1:11" x14ac:dyDescent="0.25">
      <c r="A79" s="157"/>
      <c r="B79" s="155"/>
      <c r="C79" s="155"/>
      <c r="D79" s="155"/>
      <c r="E79" s="155"/>
      <c r="F79" s="155"/>
      <c r="G79" s="155"/>
      <c r="H79" s="155"/>
      <c r="I79" s="157"/>
      <c r="J79" s="157"/>
    </row>
    <row r="80" spans="1:11" x14ac:dyDescent="0.25">
      <c r="A80" s="157"/>
      <c r="B80" s="157"/>
      <c r="C80" s="157"/>
      <c r="D80" s="157"/>
      <c r="E80" s="157"/>
      <c r="F80" s="157"/>
      <c r="G80" s="157"/>
      <c r="H80" s="157"/>
      <c r="I80" s="157"/>
      <c r="J80" s="157"/>
    </row>
    <row r="81" spans="1:10" x14ac:dyDescent="0.25">
      <c r="A81" s="157"/>
      <c r="B81" s="157"/>
      <c r="C81" s="157"/>
      <c r="D81" s="157"/>
      <c r="E81" s="157"/>
      <c r="F81" s="157"/>
      <c r="G81" s="157"/>
      <c r="H81" s="157"/>
      <c r="I81" s="157"/>
      <c r="J81" s="157"/>
    </row>
    <row r="82" spans="1:10" x14ac:dyDescent="0.25">
      <c r="A82" s="157"/>
      <c r="B82" s="157"/>
      <c r="C82" s="157"/>
      <c r="D82" s="157"/>
      <c r="E82" s="157"/>
      <c r="F82" s="157"/>
      <c r="G82" s="157"/>
      <c r="H82" s="157"/>
      <c r="I82" s="157"/>
      <c r="J82" s="157"/>
    </row>
    <row r="83" spans="1:10" x14ac:dyDescent="0.25">
      <c r="A83" s="157"/>
      <c r="B83" s="157"/>
      <c r="C83" s="157"/>
      <c r="D83" s="157"/>
      <c r="E83" s="157"/>
      <c r="F83" s="157"/>
      <c r="G83" s="157"/>
      <c r="H83" s="157"/>
      <c r="I83" s="157"/>
      <c r="J83" s="157"/>
    </row>
    <row r="84" spans="1:10" ht="23.25" x14ac:dyDescent="0.35">
      <c r="A84" s="157"/>
      <c r="B84" s="156"/>
      <c r="C84" s="157"/>
      <c r="D84" s="157"/>
      <c r="E84" s="157"/>
      <c r="F84" s="156"/>
      <c r="G84" s="157"/>
      <c r="H84" s="157"/>
      <c r="I84" s="157"/>
      <c r="J84" s="157"/>
    </row>
    <row r="85" spans="1:10" x14ac:dyDescent="0.25">
      <c r="A85" s="157"/>
      <c r="B85" s="157"/>
      <c r="C85" s="157"/>
      <c r="D85" s="157"/>
      <c r="E85" s="157"/>
      <c r="F85" s="157"/>
      <c r="G85" s="157"/>
      <c r="H85" s="157"/>
      <c r="I85" s="157"/>
      <c r="J85" s="157"/>
    </row>
    <row r="86" spans="1:10" x14ac:dyDescent="0.25">
      <c r="A86" s="157"/>
      <c r="B86" s="155"/>
      <c r="C86" s="155"/>
      <c r="D86" s="155"/>
      <c r="E86" s="155"/>
      <c r="F86" s="155"/>
      <c r="G86" s="155"/>
      <c r="H86" s="155"/>
      <c r="I86" s="157"/>
      <c r="J86" s="157"/>
    </row>
    <row r="87" spans="1:10" x14ac:dyDescent="0.25">
      <c r="A87" s="157"/>
      <c r="B87" s="157"/>
      <c r="C87" s="157"/>
      <c r="D87" s="157"/>
      <c r="E87" s="157"/>
      <c r="F87" s="157"/>
      <c r="G87" s="157"/>
      <c r="H87" s="157"/>
      <c r="I87" s="157"/>
      <c r="J87" s="157"/>
    </row>
    <row r="88" spans="1:10" x14ac:dyDescent="0.25">
      <c r="A88" s="157"/>
      <c r="B88" s="157"/>
      <c r="C88" s="157"/>
      <c r="D88" s="157"/>
      <c r="E88" s="157"/>
      <c r="F88" s="157"/>
      <c r="G88" s="157"/>
      <c r="H88" s="157"/>
      <c r="I88" s="157"/>
      <c r="J88" s="157"/>
    </row>
    <row r="89" spans="1:10" x14ac:dyDescent="0.25">
      <c r="A89" s="157"/>
      <c r="B89" s="157"/>
      <c r="C89" s="157"/>
      <c r="D89" s="157"/>
      <c r="E89" s="157"/>
      <c r="F89" s="157"/>
      <c r="G89" s="157"/>
      <c r="H89" s="157"/>
      <c r="I89" s="157"/>
      <c r="J89" s="157"/>
    </row>
    <row r="90" spans="1:10" x14ac:dyDescent="0.25">
      <c r="A90" s="157"/>
      <c r="B90" s="157"/>
      <c r="C90" s="157"/>
      <c r="D90" s="157"/>
      <c r="E90" s="157"/>
      <c r="F90" s="157"/>
      <c r="G90" s="157"/>
      <c r="H90" s="157"/>
      <c r="I90" s="157"/>
      <c r="J90" s="157"/>
    </row>
    <row r="91" spans="1:10" ht="23.25" x14ac:dyDescent="0.35">
      <c r="A91" s="157"/>
      <c r="B91" s="156"/>
      <c r="C91" s="157"/>
      <c r="D91" s="157"/>
      <c r="E91" s="157"/>
      <c r="F91" s="156"/>
      <c r="G91" s="157"/>
      <c r="H91" s="157"/>
      <c r="I91" s="157"/>
      <c r="J91" s="157"/>
    </row>
    <row r="92" spans="1:10" x14ac:dyDescent="0.25">
      <c r="A92" s="157"/>
      <c r="B92" s="157"/>
      <c r="C92" s="157"/>
      <c r="D92" s="157"/>
      <c r="E92" s="157"/>
      <c r="F92" s="157"/>
      <c r="G92" s="157"/>
      <c r="H92" s="157"/>
      <c r="I92" s="157"/>
      <c r="J92" s="157"/>
    </row>
    <row r="93" spans="1:10" x14ac:dyDescent="0.25">
      <c r="A93" s="157"/>
      <c r="B93" s="155"/>
      <c r="C93" s="155"/>
      <c r="D93" s="155"/>
      <c r="E93" s="155"/>
      <c r="F93" s="155"/>
      <c r="G93" s="155"/>
      <c r="H93" s="155"/>
      <c r="I93" s="157"/>
      <c r="J93" s="157"/>
    </row>
    <row r="94" spans="1:10" x14ac:dyDescent="0.25">
      <c r="A94" s="157"/>
      <c r="B94" s="157"/>
      <c r="C94" s="157"/>
      <c r="D94" s="157"/>
      <c r="E94" s="157"/>
      <c r="F94" s="157"/>
      <c r="G94" s="157"/>
      <c r="H94" s="157"/>
      <c r="I94" s="157"/>
      <c r="J94" s="157"/>
    </row>
    <row r="95" spans="1:10" x14ac:dyDescent="0.25">
      <c r="A95" s="157"/>
      <c r="B95" s="157"/>
      <c r="C95" s="157"/>
      <c r="D95" s="157"/>
      <c r="E95" s="157"/>
      <c r="F95" s="157"/>
      <c r="G95" s="157"/>
      <c r="H95" s="157"/>
      <c r="I95" s="157"/>
      <c r="J95" s="157"/>
    </row>
    <row r="96" spans="1:10" x14ac:dyDescent="0.25">
      <c r="A96" s="157"/>
      <c r="B96" s="157"/>
      <c r="C96" s="157"/>
      <c r="D96" s="157"/>
      <c r="E96" s="157"/>
      <c r="F96" s="157"/>
      <c r="G96" s="157"/>
      <c r="H96" s="157"/>
      <c r="I96" s="157"/>
      <c r="J96" s="157"/>
    </row>
    <row r="97" spans="1:10" x14ac:dyDescent="0.25">
      <c r="A97" s="157"/>
      <c r="B97" s="157"/>
      <c r="C97" s="157"/>
      <c r="D97" s="157"/>
      <c r="E97" s="157"/>
      <c r="F97" s="157"/>
      <c r="G97" s="157"/>
      <c r="H97" s="157"/>
      <c r="I97" s="157"/>
      <c r="J97" s="157"/>
    </row>
    <row r="98" spans="1:10" ht="23.25" x14ac:dyDescent="0.35">
      <c r="A98" s="157"/>
      <c r="B98" s="156"/>
      <c r="C98" s="157"/>
      <c r="D98" s="157"/>
      <c r="E98" s="157"/>
      <c r="F98" s="156"/>
      <c r="G98" s="157"/>
      <c r="H98" s="157"/>
      <c r="I98" s="157"/>
      <c r="J98" s="157"/>
    </row>
  </sheetData>
  <mergeCells count="2">
    <mergeCell ref="A1:J1"/>
    <mergeCell ref="A67:J68"/>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D0E0D-4E54-492A-B508-2A373670B9F8}">
  <dimension ref="A2:Q25"/>
  <sheetViews>
    <sheetView zoomScaleNormal="100" workbookViewId="0"/>
  </sheetViews>
  <sheetFormatPr defaultRowHeight="15" x14ac:dyDescent="0.25"/>
  <cols>
    <col min="2" max="2" width="41.5703125" bestFit="1" customWidth="1"/>
  </cols>
  <sheetData>
    <row r="2" spans="1:17" ht="199.15" customHeight="1" x14ac:dyDescent="0.3">
      <c r="A2" s="219" t="s">
        <v>262</v>
      </c>
      <c r="B2" s="219"/>
      <c r="C2" s="219"/>
      <c r="D2" s="219"/>
      <c r="E2" s="219"/>
      <c r="F2" s="219"/>
      <c r="G2" s="219"/>
      <c r="H2" s="219"/>
      <c r="I2" s="219"/>
      <c r="J2" s="158"/>
      <c r="K2" s="158"/>
      <c r="L2" s="221" t="s">
        <v>263</v>
      </c>
      <c r="M2" s="221"/>
      <c r="N2" s="221"/>
      <c r="O2" s="221"/>
      <c r="P2" s="221"/>
      <c r="Q2" s="221"/>
    </row>
    <row r="3" spans="1:17" x14ac:dyDescent="0.25">
      <c r="A3" s="158"/>
      <c r="B3" s="158"/>
      <c r="C3" s="158"/>
      <c r="D3" s="158"/>
      <c r="E3" s="158"/>
      <c r="F3" s="158"/>
      <c r="G3" s="158"/>
      <c r="H3" s="158"/>
      <c r="I3" s="158"/>
      <c r="J3" s="158"/>
      <c r="K3" s="158"/>
      <c r="L3" s="158"/>
    </row>
    <row r="4" spans="1:17" ht="30" x14ac:dyDescent="0.25">
      <c r="A4" s="220" t="s">
        <v>264</v>
      </c>
      <c r="B4" s="220"/>
      <c r="C4" s="220"/>
      <c r="D4" s="220"/>
      <c r="E4" s="220"/>
      <c r="F4" s="220"/>
      <c r="G4" s="220"/>
      <c r="H4" s="220"/>
      <c r="I4" s="220"/>
      <c r="J4" s="220"/>
      <c r="K4" s="158"/>
      <c r="L4" s="160" t="s">
        <v>265</v>
      </c>
      <c r="M4" s="161" t="s">
        <v>266</v>
      </c>
      <c r="N4" s="162"/>
      <c r="O4" s="162"/>
      <c r="P4" s="162"/>
    </row>
    <row r="5" spans="1:17" x14ac:dyDescent="0.25">
      <c r="A5" s="220"/>
      <c r="B5" s="220"/>
      <c r="C5" s="220"/>
      <c r="D5" s="220"/>
      <c r="E5" s="220"/>
      <c r="F5" s="220"/>
      <c r="G5" s="220"/>
      <c r="H5" s="220"/>
      <c r="I5" s="220"/>
      <c r="J5" s="220"/>
      <c r="K5" s="158"/>
      <c r="L5" s="218" t="s">
        <v>267</v>
      </c>
      <c r="M5" s="218"/>
      <c r="N5" s="218"/>
      <c r="O5" s="218"/>
      <c r="P5" s="218"/>
    </row>
    <row r="6" spans="1:17" x14ac:dyDescent="0.25">
      <c r="A6" s="220"/>
      <c r="B6" s="220"/>
      <c r="C6" s="220"/>
      <c r="D6" s="220"/>
      <c r="E6" s="220"/>
      <c r="F6" s="220"/>
      <c r="G6" s="220"/>
      <c r="H6" s="220"/>
      <c r="I6" s="220"/>
      <c r="J6" s="220"/>
      <c r="K6" s="158"/>
      <c r="L6" s="218" t="s">
        <v>268</v>
      </c>
      <c r="M6" s="218"/>
      <c r="N6" s="218"/>
      <c r="O6" s="218"/>
      <c r="P6" s="218"/>
    </row>
    <row r="7" spans="1:17" x14ac:dyDescent="0.25">
      <c r="A7" s="220"/>
      <c r="B7" s="220"/>
      <c r="C7" s="220"/>
      <c r="D7" s="220"/>
      <c r="E7" s="220"/>
      <c r="F7" s="220"/>
      <c r="G7" s="220"/>
      <c r="H7" s="220"/>
      <c r="I7" s="220"/>
      <c r="J7" s="220"/>
      <c r="K7" s="158"/>
      <c r="L7" s="218" t="s">
        <v>269</v>
      </c>
      <c r="M7" s="218"/>
      <c r="N7" s="218"/>
      <c r="O7" s="218"/>
      <c r="P7" s="162"/>
    </row>
    <row r="8" spans="1:17" x14ac:dyDescent="0.25">
      <c r="A8" s="220"/>
      <c r="B8" s="220"/>
      <c r="C8" s="220"/>
      <c r="D8" s="220"/>
      <c r="E8" s="220"/>
      <c r="F8" s="220"/>
      <c r="G8" s="220"/>
      <c r="H8" s="220"/>
      <c r="I8" s="220"/>
      <c r="J8" s="220"/>
      <c r="K8" s="158"/>
      <c r="L8" s="158"/>
    </row>
    <row r="9" spans="1:17" x14ac:dyDescent="0.25">
      <c r="A9" s="220"/>
      <c r="B9" s="220"/>
      <c r="C9" s="220"/>
      <c r="D9" s="220"/>
      <c r="E9" s="220"/>
      <c r="F9" s="220"/>
      <c r="G9" s="220"/>
      <c r="H9" s="220"/>
      <c r="I9" s="220"/>
      <c r="J9" s="220"/>
      <c r="K9" s="158"/>
      <c r="L9" s="158"/>
    </row>
    <row r="10" spans="1:17" x14ac:dyDescent="0.25">
      <c r="A10" s="220"/>
      <c r="B10" s="220"/>
      <c r="C10" s="220"/>
      <c r="D10" s="220"/>
      <c r="E10" s="220"/>
      <c r="F10" s="220"/>
      <c r="G10" s="220"/>
      <c r="H10" s="220"/>
      <c r="I10" s="220"/>
      <c r="J10" s="220"/>
      <c r="K10" s="158"/>
      <c r="L10" s="158"/>
    </row>
    <row r="11" spans="1:17" x14ac:dyDescent="0.25">
      <c r="A11" s="220"/>
      <c r="B11" s="220"/>
      <c r="C11" s="220"/>
      <c r="D11" s="220"/>
      <c r="E11" s="220"/>
      <c r="F11" s="220"/>
      <c r="G11" s="220"/>
      <c r="H11" s="220"/>
      <c r="I11" s="220"/>
      <c r="J11" s="220"/>
      <c r="K11" s="158"/>
      <c r="L11" s="158"/>
    </row>
    <row r="12" spans="1:17" x14ac:dyDescent="0.25">
      <c r="A12" s="220"/>
      <c r="B12" s="220"/>
      <c r="C12" s="220"/>
      <c r="D12" s="220"/>
      <c r="E12" s="220"/>
      <c r="F12" s="220"/>
      <c r="G12" s="220"/>
      <c r="H12" s="220"/>
      <c r="I12" s="220"/>
      <c r="J12" s="220"/>
      <c r="K12" s="158"/>
      <c r="L12" s="158"/>
    </row>
    <row r="13" spans="1:17" x14ac:dyDescent="0.25">
      <c r="A13" s="220"/>
      <c r="B13" s="220"/>
      <c r="C13" s="220"/>
      <c r="D13" s="220"/>
      <c r="E13" s="220"/>
      <c r="F13" s="220"/>
      <c r="G13" s="220"/>
      <c r="H13" s="220"/>
      <c r="I13" s="220"/>
      <c r="J13" s="220"/>
      <c r="K13" s="158"/>
      <c r="L13" s="158"/>
    </row>
    <row r="14" spans="1:17" ht="26.45" customHeight="1" x14ac:dyDescent="0.25">
      <c r="A14" s="220"/>
      <c r="B14" s="220"/>
      <c r="C14" s="220"/>
      <c r="D14" s="220"/>
      <c r="E14" s="220"/>
      <c r="F14" s="220"/>
      <c r="G14" s="220"/>
      <c r="H14" s="220"/>
      <c r="I14" s="220"/>
      <c r="J14" s="220"/>
      <c r="K14" s="158"/>
      <c r="L14" s="158"/>
    </row>
    <row r="15" spans="1:17" ht="4.9000000000000004" customHeight="1" x14ac:dyDescent="0.25">
      <c r="A15" s="220"/>
      <c r="B15" s="220"/>
      <c r="C15" s="220"/>
      <c r="D15" s="220"/>
      <c r="E15" s="220"/>
      <c r="F15" s="220"/>
      <c r="G15" s="220"/>
      <c r="H15" s="220"/>
      <c r="I15" s="220"/>
      <c r="J15" s="220"/>
      <c r="K15" s="158"/>
      <c r="L15" s="158"/>
    </row>
    <row r="16" spans="1:17" hidden="1" x14ac:dyDescent="0.25">
      <c r="A16" s="220"/>
      <c r="B16" s="220"/>
      <c r="C16" s="220"/>
      <c r="D16" s="220"/>
      <c r="E16" s="220"/>
      <c r="F16" s="220"/>
      <c r="G16" s="220"/>
      <c r="H16" s="220"/>
      <c r="I16" s="220"/>
      <c r="J16" s="220"/>
      <c r="K16" s="158"/>
      <c r="L16" s="158"/>
    </row>
    <row r="17" spans="1:12" hidden="1" x14ac:dyDescent="0.25">
      <c r="A17" s="220"/>
      <c r="B17" s="220"/>
      <c r="C17" s="220"/>
      <c r="D17" s="220"/>
      <c r="E17" s="220"/>
      <c r="F17" s="220"/>
      <c r="G17" s="220"/>
      <c r="H17" s="220"/>
      <c r="I17" s="220"/>
      <c r="J17" s="220"/>
      <c r="K17" s="158"/>
      <c r="L17" s="158"/>
    </row>
    <row r="18" spans="1:12" x14ac:dyDescent="0.25">
      <c r="A18" s="158"/>
      <c r="B18" s="158"/>
      <c r="C18" s="158"/>
      <c r="D18" s="158"/>
      <c r="E18" s="158"/>
      <c r="F18" s="158"/>
      <c r="G18" s="158"/>
      <c r="H18" s="158"/>
      <c r="I18" s="158"/>
      <c r="J18" s="158"/>
      <c r="K18" s="158"/>
      <c r="L18" s="158"/>
    </row>
    <row r="19" spans="1:12" ht="110.1" customHeight="1" x14ac:dyDescent="0.25">
      <c r="A19" s="158"/>
      <c r="B19" s="217" t="s">
        <v>281</v>
      </c>
      <c r="C19" s="217"/>
      <c r="D19" s="217"/>
      <c r="E19" s="217"/>
      <c r="F19" s="217"/>
      <c r="G19" s="217"/>
      <c r="H19" s="217"/>
      <c r="I19" s="217"/>
      <c r="J19" s="217"/>
      <c r="K19" s="158"/>
      <c r="L19" s="158"/>
    </row>
    <row r="20" spans="1:12" x14ac:dyDescent="0.25">
      <c r="A20" s="158"/>
      <c r="C20" s="158"/>
      <c r="D20" s="158"/>
      <c r="E20" s="158"/>
      <c r="F20" s="158"/>
      <c r="G20" s="158"/>
      <c r="H20" s="158"/>
      <c r="I20" s="158"/>
      <c r="J20" s="158"/>
      <c r="K20" s="158"/>
      <c r="L20" s="158"/>
    </row>
    <row r="21" spans="1:12" ht="409.5" customHeight="1" x14ac:dyDescent="0.25">
      <c r="A21" s="158"/>
      <c r="B21" s="186"/>
      <c r="C21" s="158"/>
      <c r="D21" s="158"/>
      <c r="E21" s="158"/>
      <c r="F21" s="158"/>
      <c r="G21" s="158"/>
      <c r="H21" s="158"/>
      <c r="I21" s="158"/>
      <c r="J21" s="158"/>
      <c r="K21" s="158"/>
      <c r="L21" s="158"/>
    </row>
    <row r="22" spans="1:12" x14ac:dyDescent="0.25">
      <c r="A22" s="158"/>
      <c r="B22" s="158"/>
      <c r="C22" s="158"/>
      <c r="D22" s="158"/>
      <c r="E22" s="158"/>
      <c r="F22" s="158"/>
      <c r="G22" s="158"/>
      <c r="H22" s="158"/>
      <c r="I22" s="158"/>
      <c r="J22" s="158"/>
      <c r="K22" s="158"/>
      <c r="L22" s="158"/>
    </row>
    <row r="23" spans="1:12" x14ac:dyDescent="0.25">
      <c r="A23" s="158"/>
      <c r="B23" s="158"/>
      <c r="C23" s="158"/>
      <c r="D23" s="158"/>
      <c r="E23" s="158"/>
      <c r="F23" s="158"/>
      <c r="G23" s="158"/>
      <c r="H23" s="158"/>
      <c r="I23" s="158"/>
      <c r="J23" s="158"/>
      <c r="K23" s="158"/>
      <c r="L23" s="158"/>
    </row>
    <row r="24" spans="1:12" x14ac:dyDescent="0.25">
      <c r="A24" s="158"/>
      <c r="B24" s="158"/>
      <c r="C24" s="158"/>
      <c r="D24" s="158"/>
      <c r="E24" s="158"/>
      <c r="F24" s="158"/>
      <c r="G24" s="158"/>
      <c r="H24" s="158"/>
      <c r="I24" s="158"/>
      <c r="J24" s="158"/>
      <c r="K24" s="158"/>
      <c r="L24" s="158"/>
    </row>
    <row r="25" spans="1:12" x14ac:dyDescent="0.25">
      <c r="A25" s="158"/>
      <c r="B25" s="158"/>
      <c r="C25" s="158"/>
      <c r="D25" s="158"/>
      <c r="E25" s="158"/>
      <c r="F25" s="158"/>
      <c r="G25" s="158"/>
      <c r="H25" s="158"/>
      <c r="I25" s="158"/>
      <c r="J25" s="158"/>
      <c r="K25" s="158"/>
      <c r="L25" s="158"/>
    </row>
  </sheetData>
  <mergeCells count="7">
    <mergeCell ref="B19:J19"/>
    <mergeCell ref="L7:O7"/>
    <mergeCell ref="A2:I2"/>
    <mergeCell ref="A4:J17"/>
    <mergeCell ref="L2:Q2"/>
    <mergeCell ref="L5:P5"/>
    <mergeCell ref="L6:P6"/>
  </mergeCells>
  <hyperlinks>
    <hyperlink ref="M4" r:id="rId1" display="http://www.doe.mass.edu/turnaround/level4/guidance.html" xr:uid="{959509B6-A753-41A4-B201-D04066EE538A}"/>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C69809A051FA4E9E7C5D79CE7D351B" ma:contentTypeVersion="0" ma:contentTypeDescription="Create a new document." ma:contentTypeScope="" ma:versionID="b27bb1fb1e9e51ae13e7a01660db3cb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473EBD-7282-42D9-B4B9-55800555C0D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97B81D4-3175-494F-B0BA-0F836312EF04}">
  <ds:schemaRefs>
    <ds:schemaRef ds:uri="http://schemas.microsoft.com/sharepoint/v3/contenttype/forms"/>
  </ds:schemaRefs>
</ds:datastoreItem>
</file>

<file path=customXml/itemProps3.xml><?xml version="1.0" encoding="utf-8"?>
<ds:datastoreItem xmlns:ds="http://schemas.openxmlformats.org/officeDocument/2006/customXml" ds:itemID="{84C5E460-955D-455C-B7C3-C9754B3F36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 sheet</vt:lpstr>
      <vt:lpstr>ffy22 Justix</vt:lpstr>
      <vt:lpstr>611 ffy2022-SFY23</vt:lpstr>
      <vt:lpstr>Sheet4</vt:lpstr>
      <vt:lpstr>'ffy22 Justix'!Print_Area</vt:lpstr>
      <vt:lpstr>'ffy22 Justix'!Print_Titles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IDEA Part B Funds: Description of Use of Funds</dc:title>
  <dc:subject/>
  <dc:creator>DESE</dc:creator>
  <cp:keywords/>
  <dc:description/>
  <cp:lastModifiedBy>Zou, Dong (EOE)</cp:lastModifiedBy>
  <cp:revision/>
  <dcterms:created xsi:type="dcterms:W3CDTF">2021-02-09T20:53:58Z</dcterms:created>
  <dcterms:modified xsi:type="dcterms:W3CDTF">2022-05-09T17:23:21Z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9 2022</vt:lpwstr>
  </property>
</Properties>
</file>